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DS\C3D\10801800\Design\Quantities\"/>
    </mc:Choice>
  </mc:AlternateContent>
  <bookViews>
    <workbookView xWindow="0" yWindow="0" windowWidth="24000" windowHeight="9525"/>
  </bookViews>
  <sheets>
    <sheet name="1080-18-00 EW Data" sheetId="5" r:id="rId1"/>
    <sheet name="1080-18-00 EW Summary" sheetId="6" r:id="rId2"/>
    <sheet name="Template-Detail" sheetId="4" r:id="rId3"/>
    <sheet name="Template-Summary" sheetId="1" r:id="rId4"/>
  </sheets>
  <calcPr calcId="171027"/>
</workbook>
</file>

<file path=xl/calcChain.xml><?xml version="1.0" encoding="utf-8"?>
<calcChain xmlns="http://schemas.openxmlformats.org/spreadsheetml/2006/main">
  <c r="E36" i="5" l="1"/>
  <c r="E35" i="5"/>
  <c r="E34" i="5"/>
  <c r="E33" i="5"/>
  <c r="E9" i="5"/>
  <c r="E8" i="5"/>
  <c r="E7" i="5"/>
  <c r="C18" i="6" l="1"/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C8" i="5" l="1"/>
  <c r="M8" i="5" s="1"/>
  <c r="C9" i="5"/>
  <c r="N9" i="5" s="1"/>
  <c r="J9" i="5"/>
  <c r="K9" i="5"/>
  <c r="C10" i="5"/>
  <c r="K10" i="5" s="1"/>
  <c r="N10" i="5"/>
  <c r="C11" i="5"/>
  <c r="L11" i="5" s="1"/>
  <c r="C12" i="5"/>
  <c r="M12" i="5" s="1"/>
  <c r="C13" i="5"/>
  <c r="C14" i="5"/>
  <c r="O14" i="5" s="1"/>
  <c r="J14" i="5"/>
  <c r="C15" i="5"/>
  <c r="J15" i="5" s="1"/>
  <c r="C16" i="5"/>
  <c r="M16" i="5" s="1"/>
  <c r="C17" i="5"/>
  <c r="N17" i="5" s="1"/>
  <c r="C18" i="5"/>
  <c r="K18" i="5" s="1"/>
  <c r="C19" i="5"/>
  <c r="K19" i="5" s="1"/>
  <c r="C20" i="5"/>
  <c r="L20" i="5" s="1"/>
  <c r="C21" i="5"/>
  <c r="C22" i="5"/>
  <c r="J22" i="5" s="1"/>
  <c r="C23" i="5"/>
  <c r="L23" i="5" s="1"/>
  <c r="C24" i="5"/>
  <c r="M24" i="5" s="1"/>
  <c r="C25" i="5"/>
  <c r="N25" i="5" s="1"/>
  <c r="C26" i="5"/>
  <c r="O26" i="5" s="1"/>
  <c r="C27" i="5"/>
  <c r="K27" i="5" s="1"/>
  <c r="C28" i="5"/>
  <c r="K28" i="5" s="1"/>
  <c r="C29" i="5"/>
  <c r="O29" i="5"/>
  <c r="C30" i="5"/>
  <c r="J30" i="5" s="1"/>
  <c r="C31" i="5"/>
  <c r="C32" i="5"/>
  <c r="M32" i="5" s="1"/>
  <c r="C33" i="5"/>
  <c r="N33" i="5" s="1"/>
  <c r="C34" i="5"/>
  <c r="K34" i="5" s="1"/>
  <c r="C35" i="5"/>
  <c r="L35" i="5" s="1"/>
  <c r="C36" i="5"/>
  <c r="K36" i="5" s="1"/>
  <c r="J36" i="5"/>
  <c r="J28" i="5" l="1"/>
  <c r="L26" i="5"/>
  <c r="M18" i="5"/>
  <c r="N18" i="5"/>
  <c r="M27" i="5"/>
  <c r="O16" i="5"/>
  <c r="L24" i="5"/>
  <c r="J20" i="5"/>
  <c r="L16" i="5"/>
  <c r="N12" i="5"/>
  <c r="K24" i="5"/>
  <c r="K16" i="5"/>
  <c r="L12" i="5"/>
  <c r="O27" i="5"/>
  <c r="J24" i="5"/>
  <c r="J16" i="5"/>
  <c r="K12" i="5"/>
  <c r="M34" i="5"/>
  <c r="L34" i="5"/>
  <c r="M26" i="5"/>
  <c r="M10" i="5"/>
  <c r="O32" i="5"/>
  <c r="N32" i="5"/>
  <c r="O24" i="5"/>
  <c r="K17" i="5"/>
  <c r="K15" i="5"/>
  <c r="J12" i="5"/>
  <c r="O35" i="5"/>
  <c r="K32" i="5"/>
  <c r="K20" i="5"/>
  <c r="J17" i="5"/>
  <c r="O36" i="5"/>
  <c r="N35" i="5"/>
  <c r="O33" i="5"/>
  <c r="L32" i="5"/>
  <c r="O28" i="5"/>
  <c r="N27" i="5"/>
  <c r="O25" i="5"/>
  <c r="O19" i="5"/>
  <c r="L18" i="5"/>
  <c r="L10" i="5"/>
  <c r="N36" i="5"/>
  <c r="M33" i="5"/>
  <c r="N28" i="5"/>
  <c r="M25" i="5"/>
  <c r="O20" i="5"/>
  <c r="N19" i="5"/>
  <c r="O11" i="5"/>
  <c r="O8" i="5"/>
  <c r="M35" i="5"/>
  <c r="M36" i="5"/>
  <c r="J35" i="5"/>
  <c r="L33" i="5"/>
  <c r="J32" i="5"/>
  <c r="M28" i="5"/>
  <c r="J27" i="5"/>
  <c r="L25" i="5"/>
  <c r="N20" i="5"/>
  <c r="M19" i="5"/>
  <c r="O17" i="5"/>
  <c r="O12" i="5"/>
  <c r="N11" i="5"/>
  <c r="O9" i="5"/>
  <c r="L8" i="5"/>
  <c r="L36" i="5"/>
  <c r="K33" i="5"/>
  <c r="L28" i="5"/>
  <c r="K25" i="5"/>
  <c r="K23" i="5"/>
  <c r="M20" i="5"/>
  <c r="L19" i="5"/>
  <c r="M17" i="5"/>
  <c r="M11" i="5"/>
  <c r="M9" i="5"/>
  <c r="K8" i="5"/>
  <c r="N34" i="5"/>
  <c r="J33" i="5"/>
  <c r="N26" i="5"/>
  <c r="J25" i="5"/>
  <c r="J23" i="5"/>
  <c r="J19" i="5"/>
  <c r="L17" i="5"/>
  <c r="J11" i="5"/>
  <c r="L9" i="5"/>
  <c r="J8" i="5"/>
  <c r="P8" i="5" s="1"/>
  <c r="P9" i="5" s="1"/>
  <c r="N29" i="5"/>
  <c r="J29" i="5"/>
  <c r="L29" i="5"/>
  <c r="K29" i="5"/>
  <c r="M29" i="5"/>
  <c r="L31" i="5"/>
  <c r="M31" i="5"/>
  <c r="N31" i="5"/>
  <c r="O31" i="5"/>
  <c r="K22" i="5"/>
  <c r="M22" i="5"/>
  <c r="L22" i="5"/>
  <c r="N22" i="5"/>
  <c r="O22" i="5"/>
  <c r="K31" i="5"/>
  <c r="N21" i="5"/>
  <c r="J21" i="5"/>
  <c r="K21" i="5"/>
  <c r="L21" i="5"/>
  <c r="M21" i="5"/>
  <c r="O21" i="5"/>
  <c r="O30" i="5"/>
  <c r="K30" i="5"/>
  <c r="M30" i="5"/>
  <c r="L30" i="5"/>
  <c r="N30" i="5"/>
  <c r="J31" i="5"/>
  <c r="N13" i="5"/>
  <c r="J13" i="5"/>
  <c r="L13" i="5"/>
  <c r="K13" i="5"/>
  <c r="M13" i="5"/>
  <c r="O13" i="5"/>
  <c r="R8" i="5"/>
  <c r="U8" i="5"/>
  <c r="L27" i="5"/>
  <c r="K26" i="5"/>
  <c r="K35" i="5"/>
  <c r="J34" i="5"/>
  <c r="J26" i="5"/>
  <c r="O23" i="5"/>
  <c r="J18" i="5"/>
  <c r="O15" i="5"/>
  <c r="N14" i="5"/>
  <c r="K11" i="5"/>
  <c r="J10" i="5"/>
  <c r="M14" i="5"/>
  <c r="N16" i="5"/>
  <c r="M15" i="5"/>
  <c r="L14" i="5"/>
  <c r="N8" i="5"/>
  <c r="N23" i="5"/>
  <c r="N15" i="5"/>
  <c r="N24" i="5"/>
  <c r="M23" i="5"/>
  <c r="O34" i="5"/>
  <c r="O18" i="5"/>
  <c r="L15" i="5"/>
  <c r="K14" i="5"/>
  <c r="O10" i="5"/>
  <c r="B29" i="1"/>
  <c r="U9" i="5" l="1"/>
  <c r="U10" i="5" s="1"/>
  <c r="U11" i="5" s="1"/>
  <c r="U12" i="5" s="1"/>
  <c r="R9" i="5"/>
  <c r="R10" i="5" s="1"/>
  <c r="R11" i="5" s="1"/>
  <c r="R12" i="5" s="1"/>
  <c r="G7" i="6"/>
  <c r="G9" i="6" s="1"/>
  <c r="I7" i="6"/>
  <c r="M7" i="6" s="1"/>
  <c r="E7" i="6"/>
  <c r="J7" i="6"/>
  <c r="V8" i="5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F7" i="6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P7" i="6"/>
  <c r="O39" i="5"/>
  <c r="L37" i="5"/>
  <c r="S8" i="5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N39" i="5"/>
  <c r="W8" i="5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R13" i="5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U13" i="5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M39" i="5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J37" i="5"/>
  <c r="K37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H7" i="6" l="1"/>
  <c r="H9" i="6" s="1"/>
  <c r="G8" i="6"/>
  <c r="I8" i="6"/>
  <c r="K7" i="6"/>
  <c r="I9" i="6"/>
  <c r="L7" i="6"/>
  <c r="N7" i="6"/>
  <c r="F8" i="6"/>
  <c r="F9" i="6"/>
  <c r="J9" i="6"/>
  <c r="J8" i="6"/>
  <c r="O7" i="6"/>
  <c r="E9" i="6"/>
  <c r="E8" i="6"/>
  <c r="K9" i="6"/>
  <c r="K8" i="6"/>
  <c r="P8" i="6"/>
  <c r="P9" i="6"/>
  <c r="M9" i="6"/>
  <c r="M8" i="6"/>
  <c r="S13" i="1"/>
  <c r="S16" i="1" s="1"/>
  <c r="D17" i="1"/>
  <c r="H8" i="6" l="1"/>
  <c r="R7" i="6"/>
  <c r="R8" i="6" s="1"/>
  <c r="Q7" i="6"/>
  <c r="O9" i="6"/>
  <c r="O8" i="6"/>
  <c r="E10" i="6"/>
  <c r="N8" i="6"/>
  <c r="N9" i="6"/>
  <c r="L9" i="6"/>
  <c r="L8" i="6"/>
  <c r="T7" i="6" l="1"/>
  <c r="R9" i="6"/>
  <c r="S7" i="6"/>
  <c r="S8" i="6" s="1"/>
  <c r="Q8" i="6"/>
  <c r="Q9" i="6"/>
  <c r="T9" i="6"/>
  <c r="T8" i="6"/>
  <c r="S9" i="6" l="1"/>
</calcChain>
</file>

<file path=xl/sharedStrings.xml><?xml version="1.0" encoding="utf-8"?>
<sst xmlns="http://schemas.openxmlformats.org/spreadsheetml/2006/main" count="324" uniqueCount="161">
  <si>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</si>
  <si>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</si>
  <si>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</si>
  <si>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</si>
  <si>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</si>
  <si>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</si>
  <si>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</si>
  <si>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</si>
  <si>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</si>
  <si>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</si>
  <si>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</si>
  <si>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</si>
  <si>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</si>
  <si>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</si>
  <si>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</si>
  <si>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</si>
  <si>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</si>
  <si>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</si>
  <si>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</si>
  <si>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</si>
  <si>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</si>
  <si>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</si>
  <si>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</si>
  <si>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</si>
  <si>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</si>
  <si>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</si>
  <si>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</si>
  <si>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</si>
  <si>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</si>
  <si>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</si>
  <si>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</si>
  <si>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</si>
  <si>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</si>
  <si>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</si>
  <si>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</si>
  <si>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</si>
  <si>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</si>
  <si>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</si>
  <si>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</si>
  <si>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</si>
  <si>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</si>
  <si>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</si>
  <si>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</si>
  <si>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</si>
  <si>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</si>
  <si>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</si>
  <si>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</si>
  <si>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</si>
  <si>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</si>
  <si>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</si>
  <si>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</si>
  <si>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</si>
  <si>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</si>
  <si>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</si>
  <si>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</si>
  <si>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</si>
  <si>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</si>
  <si>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</si>
  <si>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</si>
  <si>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</si>
  <si>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</si>
  <si>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</si>
  <si>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</si>
  <si>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</si>
  <si>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</si>
  <si>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</si>
  <si>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</si>
  <si>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</si>
  <si>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</si>
  <si>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</si>
  <si>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</si>
  <si>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</si>
  <si>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</si>
  <si>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</si>
  <si>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</si>
  <si>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</si>
  <si>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</si>
  <si>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</si>
  <si>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</si>
  <si>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</si>
  <si>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</si>
  <si>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</si>
  <si>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</si>
  <si>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</si>
  <si>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</si>
  <si>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</si>
  <si>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</si>
  <si>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</si>
  <si>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</si>
  <si>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</si>
  <si>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</si>
  <si>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</si>
  <si>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</si>
  <si>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</si>
  <si>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</si>
  <si>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</si>
  <si>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</si>
  <si>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</si>
  <si>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</si>
  <si>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</si>
  <si>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</si>
  <si>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</si>
  <si>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</si>
  <si>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</si>
  <si>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</si>
  <si>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</si>
  <si>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</si>
  <si>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</si>
  <si>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</si>
  <si>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117+00</t>
  </si>
  <si>
    <t>117+50</t>
  </si>
  <si>
    <t>118+00</t>
  </si>
  <si>
    <t>118+50</t>
  </si>
  <si>
    <t>118+75</t>
  </si>
  <si>
    <t>119+00</t>
  </si>
  <si>
    <t>119+50</t>
  </si>
  <si>
    <t>120+00</t>
  </si>
  <si>
    <t>120+50</t>
  </si>
  <si>
    <t>120+53.23</t>
  </si>
  <si>
    <t>121+00</t>
  </si>
  <si>
    <t>121+50</t>
  </si>
  <si>
    <t>122+00</t>
  </si>
  <si>
    <t>122+50</t>
  </si>
  <si>
    <t>123+00</t>
  </si>
  <si>
    <t>123+13.62</t>
  </si>
  <si>
    <t>123+50</t>
  </si>
  <si>
    <t>124+00</t>
  </si>
  <si>
    <t>124+50</t>
  </si>
  <si>
    <t>125+00</t>
  </si>
  <si>
    <t>125+50</t>
  </si>
  <si>
    <t>126+00</t>
  </si>
  <si>
    <t>126+50</t>
  </si>
  <si>
    <t>127+00</t>
  </si>
  <si>
    <t>127+50</t>
  </si>
  <si>
    <t>128+00</t>
  </si>
  <si>
    <t>128+50</t>
  </si>
  <si>
    <t>129+00</t>
  </si>
  <si>
    <t>129+50</t>
  </si>
  <si>
    <t>130+00</t>
  </si>
  <si>
    <t>USH 12 South Crossover</t>
  </si>
  <si>
    <t>Stage 1</t>
  </si>
  <si>
    <t>Stage 1 Subtotal</t>
  </si>
  <si>
    <t>CY</t>
  </si>
  <si>
    <t>205.0100                                            Excavation Common                                                           (1)</t>
  </si>
  <si>
    <t>Expanded Fill = (Unexpanded Fill) * Fill Factor</t>
  </si>
  <si>
    <t>(5) Available Material = Cut - Salvaged/Unusuable Pavement Material</t>
  </si>
  <si>
    <t>(3) EBS Excavation to be backfilled with Cut material.</t>
  </si>
  <si>
    <t>EARTHWORK SUMMARY</t>
  </si>
  <si>
    <t>Salvaged / Unusable                               Pavement Material             (4)</t>
  </si>
  <si>
    <t>STA 117+00 to STA 130+00</t>
  </si>
  <si>
    <t>Total Excavation Common</t>
  </si>
  <si>
    <t>Borrow</t>
  </si>
  <si>
    <t>USH 12 - SOUTH CROSSOVER (STAGE 1)</t>
  </si>
  <si>
    <t>This does not show up in cross sections.</t>
  </si>
  <si>
    <t>Cut includes Salvaged/Unusable Pavement material.</t>
  </si>
  <si>
    <t>Cut - Salvaged/Unusable Pavement Material - (Fill * Fill Factor)</t>
  </si>
  <si>
    <t>(1) Excavation Common is the sum of the Cut and EBS Excavation columns. Item number 205.0100</t>
  </si>
  <si>
    <t>Expanded Fill              (6)</t>
  </si>
  <si>
    <t>Mass Ordinate    +/-                 (7)</t>
  </si>
  <si>
    <t>(7) The Mass Ordinate + or - Qty calculated for the Division. Plus quantity indicates an excess of material within the Division. Minus indicates a shortage of material within the Division.</t>
  </si>
  <si>
    <t>3 - Mass Ordinate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</si>
</sst>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,##0.0"/>
    <numFmt numFmtId="165" formatCode="##,##0"/>
    <numFmt numFmtId="166" formatCode="##,##0.00"/>
  </numFmts>
  <fonts count="11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2"/>
      <name val="Verdan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0" fontId="0" fillId="0" borderId="0" xfId="0"/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9" fillId="0" borderId="0" xfId="0" applyFont="1" applyAlignment="1"/>
    <xf numFmtId="3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4" fontId="10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3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vertical="center"/>
      <protection locked="0"/>
    </xf>
    <xf numFmtId="2" fontId="4" fillId="0" borderId="16" xfId="0" applyNumberFormat="1" applyFont="1" applyBorder="1" applyAlignment="1" applyProtection="1">
      <alignment horizont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/>
      <protection locked="0"/>
    </xf>
    <xf numFmtId="2" fontId="4" fillId="0" borderId="16" xfId="0" applyNumberFormat="1" applyFont="1" applyBorder="1" applyAlignment="1" applyProtection="1">
      <alignment horizontal="center" wrapText="1"/>
      <protection locked="0"/>
    </xf>
    <xf numFmtId="2" fontId="4" fillId="0" borderId="17" xfId="0" applyNumberFormat="1" applyFont="1" applyBorder="1" applyAlignment="1" applyProtection="1">
      <alignment horizontal="center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/>
      <protection locked="0"/>
    </xf>
    <xf numFmtId="3" fontId="4" fillId="0" borderId="19" xfId="0" applyNumberFormat="1" applyFont="1" applyBorder="1" applyAlignment="1" applyProtection="1">
      <alignment horizontal="center"/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3" fontId="4" fillId="0" borderId="21" xfId="0" applyNumberFormat="1" applyFont="1" applyBorder="1" applyAlignment="1" applyProtection="1">
      <alignment horizontal="center"/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2" fontId="4" fillId="0" borderId="23" xfId="0" applyNumberFormat="1" applyFont="1" applyBorder="1" applyAlignment="1" applyProtection="1">
      <alignment horizontal="center"/>
      <protection locked="0"/>
    </xf>
    <xf numFmtId="3" fontId="4" fillId="0" borderId="23" xfId="0" applyNumberFormat="1" applyFont="1" applyBorder="1" applyAlignment="1" applyProtection="1">
      <alignment horizontal="center"/>
      <protection locked="0"/>
    </xf>
    <xf numFmtId="3" fontId="4" fillId="0" borderId="24" xfId="0" applyNumberFormat="1" applyFont="1" applyBorder="1" applyAlignment="1" applyProtection="1">
      <alignment horizontal="center"/>
      <protection locked="0"/>
    </xf>
    <xf numFmtId="2" fontId="4" fillId="0" borderId="25" xfId="0" applyNumberFormat="1" applyFont="1" applyBorder="1" applyAlignment="1" applyProtection="1">
      <alignment horizontal="center" vertical="center"/>
      <protection locked="0"/>
    </xf>
    <xf numFmtId="2" fontId="4" fillId="0" borderId="26" xfId="0" applyNumberFormat="1" applyFont="1" applyBorder="1" applyAlignment="1" applyProtection="1">
      <alignment horizontal="center" vertical="center"/>
      <protection locked="0"/>
    </xf>
    <xf numFmtId="2" fontId="4" fillId="0" borderId="26" xfId="0" applyNumberFormat="1" applyFont="1" applyBorder="1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/>
      <protection locked="0"/>
    </xf>
    <xf numFmtId="3" fontId="4" fillId="0" borderId="27" xfId="0" applyNumberFormat="1" applyFont="1" applyBorder="1" applyAlignment="1" applyProtection="1">
      <alignment horizontal="center"/>
      <protection locked="0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horizontal="center"/>
    </xf>
    <xf numFmtId="3" fontId="2" fillId="0" borderId="13" xfId="0" applyNumberFormat="1" applyFont="1" applyBorder="1"/>
    <xf numFmtId="0" fontId="2" fillId="0" borderId="2" xfId="0" applyFont="1" applyBorder="1" applyAlignment="1">
      <alignment vertical="center"/>
    </xf>
    <xf numFmtId="3" fontId="2" fillId="0" borderId="14" xfId="0" applyNumberFormat="1" applyFont="1" applyBorder="1"/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90"/>
  <sheetViews>
    <sheetView showGridLines="0" tabSelected="1" zoomScaleNormal="100" workbookViewId="0">
      <selection activeCell="W39" sqref="W39"/>
    </sheetView>
  </sheetViews>
  <sheetFormatPr defaultColWidth="26.28515625" defaultRowHeight="12.75" x14ac:dyDescent="0.2"/>
  <cols>
    <col min="1" max="1" width="14" style="14" customWidth="1"/>
    <col min="2" max="2" width="12.140625" style="14" hidden="1" customWidth="1"/>
    <col min="3" max="3" width="9.7109375" style="14" customWidth="1"/>
    <col min="4" max="4" width="12.42578125" style="14" bestFit="1" customWidth="1"/>
    <col min="5" max="5" width="19.85546875" style="14" customWidth="1"/>
    <col min="6" max="6" width="7.7109375" style="14" customWidth="1"/>
    <col min="7" max="7" width="10.28515625" style="14" hidden="1" customWidth="1"/>
    <col min="8" max="8" width="9.28515625" style="14" hidden="1" customWidth="1"/>
    <col min="9" max="9" width="4.7109375" style="14" hidden="1" customWidth="1"/>
    <col min="10" max="10" width="15" style="14" customWidth="1"/>
    <col min="11" max="11" width="20.7109375" style="14" customWidth="1"/>
    <col min="12" max="12" width="9.5703125" style="14" customWidth="1"/>
    <col min="13" max="13" width="10.28515625" style="14" hidden="1" customWidth="1"/>
    <col min="14" max="14" width="9.28515625" style="14" hidden="1" customWidth="1"/>
    <col min="15" max="15" width="4.7109375" style="14" hidden="1" customWidth="1"/>
    <col min="16" max="16" width="16" style="14" customWidth="1"/>
    <col min="17" max="17" width="10.140625" style="14" bestFit="1" customWidth="1"/>
    <col min="18" max="18" width="13.85546875" style="14" hidden="1" customWidth="1"/>
    <col min="19" max="19" width="10.140625" style="14" hidden="1" customWidth="1"/>
    <col min="20" max="20" width="12" style="14" hidden="1" customWidth="1"/>
    <col min="21" max="21" width="15.7109375" style="13" hidden="1" customWidth="1"/>
    <col min="22" max="22" width="13.42578125" style="13" hidden="1" customWidth="1"/>
    <col min="23" max="23" width="14" style="13" bestFit="1" customWidth="1"/>
    <col min="24" max="24" width="10.5703125" style="157" customWidth="1"/>
    <col min="25" max="25" width="50" style="157" bestFit="1" customWidth="1"/>
    <col min="26" max="26" width="54.140625" style="157" customWidth="1"/>
    <col min="27" max="33" width="26.28515625" style="157"/>
    <col min="34" max="16384" width="26.28515625" style="158"/>
  </cols>
  <sheetData>
    <row r="1" spans="1:33" ht="24.75" customHeight="1" thickBot="1" x14ac:dyDescent="0.25">
      <c r="A1" s="156" t="s">
        <v>152</v>
      </c>
    </row>
    <row r="2" spans="1:33" s="161" customFormat="1" ht="13.5" thickBot="1" x14ac:dyDescent="0.25">
      <c r="A2" s="83"/>
      <c r="B2" s="83"/>
      <c r="C2" s="83"/>
      <c r="D2" s="211" t="s">
        <v>65</v>
      </c>
      <c r="E2" s="212"/>
      <c r="F2" s="212"/>
      <c r="G2" s="85"/>
      <c r="H2" s="85"/>
      <c r="I2" s="86"/>
      <c r="J2" s="211" t="s">
        <v>77</v>
      </c>
      <c r="K2" s="212"/>
      <c r="L2" s="212"/>
      <c r="M2" s="85"/>
      <c r="N2" s="85"/>
      <c r="O2" s="86"/>
      <c r="P2" s="211" t="s">
        <v>66</v>
      </c>
      <c r="Q2" s="212"/>
      <c r="R2" s="212"/>
      <c r="S2" s="212"/>
      <c r="T2" s="212"/>
      <c r="U2" s="212"/>
      <c r="V2" s="212"/>
      <c r="W2" s="213"/>
      <c r="X2" s="159"/>
      <c r="Y2" s="159"/>
      <c r="Z2" s="159"/>
      <c r="AA2" s="160"/>
      <c r="AB2" s="160"/>
      <c r="AC2" s="160"/>
      <c r="AD2" s="160"/>
      <c r="AE2" s="160"/>
      <c r="AF2" s="160"/>
      <c r="AG2" s="160"/>
    </row>
    <row r="3" spans="1:33" s="161" customFormat="1" x14ac:dyDescent="0.2">
      <c r="A3" s="92"/>
      <c r="B3" s="92"/>
      <c r="C3" s="92"/>
      <c r="D3" s="96"/>
      <c r="E3" s="83" t="s">
        <v>18</v>
      </c>
      <c r="F3" s="94"/>
      <c r="G3" s="94"/>
      <c r="H3" s="94"/>
      <c r="I3" s="95"/>
      <c r="J3" s="96"/>
      <c r="K3" s="83" t="s">
        <v>18</v>
      </c>
      <c r="L3" s="97"/>
      <c r="M3" s="97"/>
      <c r="N3" s="97"/>
      <c r="O3" s="98"/>
      <c r="P3" s="96"/>
      <c r="Q3" s="83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159"/>
      <c r="Y3" s="159"/>
      <c r="Z3" s="159"/>
      <c r="AA3" s="160"/>
      <c r="AB3" s="160"/>
      <c r="AC3" s="160"/>
      <c r="AD3" s="160"/>
      <c r="AE3" s="160"/>
      <c r="AF3" s="160"/>
      <c r="AG3" s="160"/>
    </row>
    <row r="4" spans="1:33" s="161" customFormat="1" x14ac:dyDescent="0.2">
      <c r="A4" s="92"/>
      <c r="B4" s="92"/>
      <c r="C4" s="92"/>
      <c r="D4" s="93" t="s">
        <v>17</v>
      </c>
      <c r="E4" s="92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2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2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159"/>
      <c r="Y4" s="159"/>
      <c r="Z4" s="159"/>
      <c r="AA4" s="160"/>
      <c r="AB4" s="160"/>
      <c r="AC4" s="160"/>
      <c r="AD4" s="160"/>
      <c r="AE4" s="160"/>
      <c r="AF4" s="160"/>
      <c r="AG4" s="160"/>
    </row>
    <row r="5" spans="1:33" s="161" customFormat="1" x14ac:dyDescent="0.2">
      <c r="A5" s="92" t="s">
        <v>25</v>
      </c>
      <c r="B5" s="92" t="s">
        <v>16</v>
      </c>
      <c r="C5" s="92" t="s">
        <v>26</v>
      </c>
      <c r="D5" s="101"/>
      <c r="E5" s="92"/>
      <c r="F5" s="102"/>
      <c r="G5" s="102"/>
      <c r="H5" s="102"/>
      <c r="I5" s="103"/>
      <c r="J5" s="93"/>
      <c r="K5" s="92"/>
      <c r="L5" s="102"/>
      <c r="M5" s="102"/>
      <c r="N5" s="102"/>
      <c r="O5" s="103"/>
      <c r="P5" s="101">
        <v>1</v>
      </c>
      <c r="Q5" s="200">
        <v>1.3</v>
      </c>
      <c r="R5" s="102">
        <v>1</v>
      </c>
      <c r="S5" s="102">
        <v>1</v>
      </c>
      <c r="T5" s="103">
        <v>1</v>
      </c>
      <c r="U5" s="104">
        <v>1</v>
      </c>
      <c r="V5" s="112">
        <v>1</v>
      </c>
      <c r="W5" s="103"/>
      <c r="X5" s="159"/>
      <c r="Y5" s="159"/>
      <c r="Z5" s="159"/>
      <c r="AA5" s="160"/>
      <c r="AB5" s="160"/>
      <c r="AC5" s="160"/>
      <c r="AD5" s="160"/>
      <c r="AE5" s="160"/>
      <c r="AF5" s="160"/>
      <c r="AG5" s="160"/>
    </row>
    <row r="6" spans="1:33" s="161" customFormat="1" ht="13.5" thickBot="1" x14ac:dyDescent="0.25">
      <c r="A6" s="92"/>
      <c r="B6" s="92"/>
      <c r="C6" s="92"/>
      <c r="D6" s="106"/>
      <c r="E6" s="105"/>
      <c r="F6" s="94"/>
      <c r="G6" s="94"/>
      <c r="H6" s="94"/>
      <c r="I6" s="95"/>
      <c r="J6" s="106" t="s">
        <v>28</v>
      </c>
      <c r="K6" s="105" t="s">
        <v>29</v>
      </c>
      <c r="L6" s="94"/>
      <c r="M6" s="94"/>
      <c r="N6" s="94"/>
      <c r="O6" s="95"/>
      <c r="P6" s="106" t="s">
        <v>28</v>
      </c>
      <c r="Q6" s="105"/>
      <c r="R6" s="94" t="s">
        <v>31</v>
      </c>
      <c r="S6" s="94"/>
      <c r="T6" s="95" t="s">
        <v>32</v>
      </c>
      <c r="U6" s="100" t="s">
        <v>33</v>
      </c>
      <c r="V6" s="111" t="s">
        <v>34</v>
      </c>
      <c r="W6" s="115" t="s">
        <v>30</v>
      </c>
      <c r="X6" s="159"/>
      <c r="Y6" s="159"/>
      <c r="Z6" s="159"/>
      <c r="AA6" s="160"/>
      <c r="AB6" s="160"/>
      <c r="AC6" s="160"/>
      <c r="AD6" s="160"/>
      <c r="AE6" s="160"/>
      <c r="AF6" s="160"/>
      <c r="AG6" s="160"/>
    </row>
    <row r="7" spans="1:33" x14ac:dyDescent="0.2">
      <c r="A7" s="180" t="s">
        <v>109</v>
      </c>
      <c r="B7" s="181">
        <v>11700</v>
      </c>
      <c r="C7" s="191">
        <v>0</v>
      </c>
      <c r="D7" s="181">
        <v>33.6644823840033</v>
      </c>
      <c r="E7" s="191">
        <f>((3/12)*3)</f>
        <v>0.75</v>
      </c>
      <c r="F7" s="181">
        <v>5.7276102885225499E-2</v>
      </c>
      <c r="G7" s="181">
        <v>0</v>
      </c>
      <c r="H7" s="181">
        <v>0</v>
      </c>
      <c r="I7" s="181">
        <v>0</v>
      </c>
      <c r="J7" s="196">
        <v>0</v>
      </c>
      <c r="K7" s="182">
        <v>0</v>
      </c>
      <c r="L7" s="196">
        <v>0</v>
      </c>
      <c r="M7" s="182">
        <v>0</v>
      </c>
      <c r="N7" s="182">
        <v>0</v>
      </c>
      <c r="O7" s="182">
        <v>0</v>
      </c>
      <c r="P7" s="182">
        <v>0</v>
      </c>
      <c r="Q7" s="196">
        <v>0</v>
      </c>
      <c r="R7" s="182">
        <v>0</v>
      </c>
      <c r="S7" s="182">
        <v>0</v>
      </c>
      <c r="T7" s="182">
        <v>0</v>
      </c>
      <c r="U7" s="183">
        <v>0</v>
      </c>
      <c r="V7" s="183">
        <v>0</v>
      </c>
      <c r="W7" s="184">
        <v>0</v>
      </c>
    </row>
    <row r="8" spans="1:33" x14ac:dyDescent="0.2">
      <c r="A8" s="185" t="s">
        <v>110</v>
      </c>
      <c r="B8" s="176">
        <v>11750</v>
      </c>
      <c r="C8" s="192">
        <f t="shared" ref="C8:C36" si="0">B8-B7</f>
        <v>50</v>
      </c>
      <c r="D8" s="176">
        <v>36.766131226962898</v>
      </c>
      <c r="E8" s="192">
        <f>((3/12)*3)</f>
        <v>0.75</v>
      </c>
      <c r="F8" s="176">
        <v>0.66760715160489803</v>
      </c>
      <c r="G8" s="176">
        <v>0</v>
      </c>
      <c r="H8" s="176">
        <v>0</v>
      </c>
      <c r="I8" s="176">
        <v>0</v>
      </c>
      <c r="J8" s="197">
        <f t="shared" ref="J8:J36" si="1">AVERAGE(D7:D8)*(C8)/27</f>
        <v>65.213531121264992</v>
      </c>
      <c r="K8" s="177">
        <f t="shared" ref="K8:K36" si="2">AVERAGE(E7:E8)*(C8)/27</f>
        <v>1.3888888888888888</v>
      </c>
      <c r="L8" s="197">
        <f t="shared" ref="L8:L36" si="3">AVERAGE(F7:F8)*(C8)/27</f>
        <v>0.67118819860196632</v>
      </c>
      <c r="M8" s="177">
        <f t="shared" ref="M8:M36" si="4">AVERAGE(G7:G8)*(C8)/27</f>
        <v>0</v>
      </c>
      <c r="N8" s="177">
        <f t="shared" ref="N8:N36" si="5">AVERAGE(H7:H8)*(C8)/27</f>
        <v>0</v>
      </c>
      <c r="O8" s="177">
        <f t="shared" ref="O8:O36" si="6">AVERAGE(I7:I8)*(C8)/27</f>
        <v>0</v>
      </c>
      <c r="P8" s="177">
        <f>J8*P5+P7</f>
        <v>65.213531121264992</v>
      </c>
      <c r="Q8" s="197">
        <f>(L8-(N8*S5)-(M8*U5)-(O8*V5))*Q5+Q7</f>
        <v>0.87254465818255622</v>
      </c>
      <c r="R8" s="177">
        <f>M8*R5+R7</f>
        <v>0</v>
      </c>
      <c r="S8" s="177">
        <f>N8*S5+S7</f>
        <v>0</v>
      </c>
      <c r="T8" s="177">
        <f>O8*T5+T7</f>
        <v>0</v>
      </c>
      <c r="U8" s="178">
        <f>M8*U5+U7</f>
        <v>0</v>
      </c>
      <c r="V8" s="178">
        <f>O8*V5+V7</f>
        <v>0</v>
      </c>
      <c r="W8" s="186">
        <f>(J8-K8-(L8-(N8*S5)-(M8*U5)-(O8*V5))*Q5+W7)</f>
        <v>62.952097574193552</v>
      </c>
    </row>
    <row r="9" spans="1:33" x14ac:dyDescent="0.2">
      <c r="A9" s="185" t="s">
        <v>111</v>
      </c>
      <c r="B9" s="176">
        <v>11800</v>
      </c>
      <c r="C9" s="192">
        <f t="shared" si="0"/>
        <v>50</v>
      </c>
      <c r="D9" s="176">
        <v>40.760685869838198</v>
      </c>
      <c r="E9" s="192">
        <f>((3/12)*3)</f>
        <v>0.75</v>
      </c>
      <c r="F9" s="176">
        <v>1.51375548756187</v>
      </c>
      <c r="G9" s="176">
        <v>0</v>
      </c>
      <c r="H9" s="176">
        <v>0</v>
      </c>
      <c r="I9" s="176">
        <v>0</v>
      </c>
      <c r="J9" s="197">
        <f t="shared" si="1"/>
        <v>71.784089904445466</v>
      </c>
      <c r="K9" s="177">
        <f t="shared" si="2"/>
        <v>1.3888888888888888</v>
      </c>
      <c r="L9" s="197">
        <f t="shared" si="3"/>
        <v>2.019780221450711</v>
      </c>
      <c r="M9" s="177">
        <f t="shared" si="4"/>
        <v>0</v>
      </c>
      <c r="N9" s="177">
        <f t="shared" si="5"/>
        <v>0</v>
      </c>
      <c r="O9" s="177">
        <f t="shared" si="6"/>
        <v>0</v>
      </c>
      <c r="P9" s="177">
        <f>J9*P5+P8</f>
        <v>136.99762102571046</v>
      </c>
      <c r="Q9" s="197">
        <f>(L9-(N9*S5)-(M9*U5)-(O9*V5))*Q5+Q8</f>
        <v>3.4982589460684803</v>
      </c>
      <c r="R9" s="177">
        <f>M9*R5+R8</f>
        <v>0</v>
      </c>
      <c r="S9" s="177">
        <f>N9*S5+S8</f>
        <v>0</v>
      </c>
      <c r="T9" s="177">
        <f>O9*T5+T8</f>
        <v>0</v>
      </c>
      <c r="U9" s="178">
        <f>M9*U5+U8</f>
        <v>0</v>
      </c>
      <c r="V9" s="178">
        <f>O9*V5+V8</f>
        <v>0</v>
      </c>
      <c r="W9" s="186">
        <f>(J9-K9-(L9-(N9*S5)-(M9*U5)-(O9*V5))*Q5+W8)</f>
        <v>130.7215843018642</v>
      </c>
    </row>
    <row r="10" spans="1:33" x14ac:dyDescent="0.2">
      <c r="A10" s="185" t="s">
        <v>112</v>
      </c>
      <c r="B10" s="175">
        <v>11850</v>
      </c>
      <c r="C10" s="193">
        <f t="shared" si="0"/>
        <v>50</v>
      </c>
      <c r="D10" s="175">
        <v>44.573103954913698</v>
      </c>
      <c r="E10" s="192">
        <f t="shared" ref="E8:E36" si="7">2*((3/12)*3)</f>
        <v>1.5</v>
      </c>
      <c r="F10" s="175">
        <v>3.8882978340916399</v>
      </c>
      <c r="G10" s="175">
        <v>0</v>
      </c>
      <c r="H10" s="175">
        <v>0</v>
      </c>
      <c r="I10" s="175">
        <v>0</v>
      </c>
      <c r="J10" s="198">
        <f t="shared" si="1"/>
        <v>79.012768356251769</v>
      </c>
      <c r="K10" s="178">
        <f t="shared" si="2"/>
        <v>2.0833333333333335</v>
      </c>
      <c r="L10" s="198">
        <f t="shared" si="3"/>
        <v>5.001901223753249</v>
      </c>
      <c r="M10" s="178">
        <f t="shared" si="4"/>
        <v>0</v>
      </c>
      <c r="N10" s="178">
        <f t="shared" si="5"/>
        <v>0</v>
      </c>
      <c r="O10" s="178">
        <f t="shared" si="6"/>
        <v>0</v>
      </c>
      <c r="P10" s="178">
        <f>J10*P5+P9</f>
        <v>216.01038938196223</v>
      </c>
      <c r="Q10" s="198">
        <f>(L10-(N10*S5)-(M10*U5)-(O10*V5))*Q5+Q9</f>
        <v>10.000730536947703</v>
      </c>
      <c r="R10" s="178">
        <f>M10*R5+R9</f>
        <v>0</v>
      </c>
      <c r="S10" s="178">
        <f>N10*S5+S9</f>
        <v>0</v>
      </c>
      <c r="T10" s="178">
        <f>O10*T5+T9</f>
        <v>0</v>
      </c>
      <c r="U10" s="178">
        <f>M10*U5+U9</f>
        <v>0</v>
      </c>
      <c r="V10" s="178">
        <f>O10*V5+V9</f>
        <v>0</v>
      </c>
      <c r="W10" s="186">
        <f>(J10-K10-(L10-(N10*S5)-(M10*U5)-(O10*V5))*Q5+W9)</f>
        <v>201.1485477339034</v>
      </c>
      <c r="X10" s="162"/>
      <c r="Y10" s="162"/>
      <c r="Z10" s="162"/>
    </row>
    <row r="11" spans="1:33" x14ac:dyDescent="0.2">
      <c r="A11" s="185" t="s">
        <v>113</v>
      </c>
      <c r="B11" s="175">
        <v>11875</v>
      </c>
      <c r="C11" s="193">
        <f t="shared" si="0"/>
        <v>25</v>
      </c>
      <c r="D11" s="175">
        <v>67.917398548485593</v>
      </c>
      <c r="E11" s="192">
        <f t="shared" si="7"/>
        <v>1.5</v>
      </c>
      <c r="F11" s="175">
        <v>3.7824166848759</v>
      </c>
      <c r="G11" s="175">
        <v>0</v>
      </c>
      <c r="H11" s="175">
        <v>0</v>
      </c>
      <c r="I11" s="175">
        <v>0</v>
      </c>
      <c r="J11" s="198">
        <f t="shared" si="1"/>
        <v>52.078936344166337</v>
      </c>
      <c r="K11" s="178">
        <f t="shared" si="2"/>
        <v>1.3888888888888888</v>
      </c>
      <c r="L11" s="198">
        <f t="shared" si="3"/>
        <v>3.5512567217442315</v>
      </c>
      <c r="M11" s="178">
        <f t="shared" si="4"/>
        <v>0</v>
      </c>
      <c r="N11" s="178">
        <f t="shared" si="5"/>
        <v>0</v>
      </c>
      <c r="O11" s="178">
        <f t="shared" si="6"/>
        <v>0</v>
      </c>
      <c r="P11" s="178">
        <f>J11*P5+P10</f>
        <v>268.08932572612855</v>
      </c>
      <c r="Q11" s="198">
        <f>(L11-(N11*S5)-(M11*U5)-(O11*V5))*Q5+Q10</f>
        <v>14.617364275215204</v>
      </c>
      <c r="R11" s="178">
        <f>M11*R5+R10</f>
        <v>0</v>
      </c>
      <c r="S11" s="178">
        <f>N11*S5+S10</f>
        <v>0</v>
      </c>
      <c r="T11" s="178">
        <f>O11*T5+T10</f>
        <v>0</v>
      </c>
      <c r="U11" s="178">
        <f>M11*U5+U10</f>
        <v>0</v>
      </c>
      <c r="V11" s="178">
        <f>O11*V5+V10</f>
        <v>0</v>
      </c>
      <c r="W11" s="186">
        <f>(J11-K11-(L11-(N11*S5)-(M11*U5)-(O11*V5))*Q5+W10)</f>
        <v>247.22196145091334</v>
      </c>
    </row>
    <row r="12" spans="1:33" x14ac:dyDescent="0.2">
      <c r="A12" s="185" t="s">
        <v>114</v>
      </c>
      <c r="B12" s="175">
        <v>11900</v>
      </c>
      <c r="C12" s="193">
        <f t="shared" si="0"/>
        <v>25</v>
      </c>
      <c r="D12" s="175">
        <v>66.995846761381699</v>
      </c>
      <c r="E12" s="192">
        <f t="shared" si="7"/>
        <v>1.5</v>
      </c>
      <c r="F12" s="175">
        <v>15.0349724804309</v>
      </c>
      <c r="G12" s="175">
        <v>0</v>
      </c>
      <c r="H12" s="175">
        <v>0</v>
      </c>
      <c r="I12" s="175">
        <v>0</v>
      </c>
      <c r="J12" s="198">
        <f t="shared" si="1"/>
        <v>62.459835791605236</v>
      </c>
      <c r="K12" s="178">
        <f t="shared" si="2"/>
        <v>1.3888888888888888</v>
      </c>
      <c r="L12" s="198">
        <f t="shared" si="3"/>
        <v>8.7117542431975927</v>
      </c>
      <c r="M12" s="178">
        <f t="shared" si="4"/>
        <v>0</v>
      </c>
      <c r="N12" s="178">
        <f t="shared" si="5"/>
        <v>0</v>
      </c>
      <c r="O12" s="178">
        <f t="shared" si="6"/>
        <v>0</v>
      </c>
      <c r="P12" s="178">
        <f>J12*P5+P11</f>
        <v>330.54916151773381</v>
      </c>
      <c r="Q12" s="198">
        <f>(L12-(N12*S5)-(M12*U5)-(O12*V5))*Q5+Q11</f>
        <v>25.942644791372075</v>
      </c>
      <c r="R12" s="178">
        <f>M12*R5+R11</f>
        <v>0</v>
      </c>
      <c r="S12" s="178">
        <f>N12*S5+S11</f>
        <v>0</v>
      </c>
      <c r="T12" s="178">
        <f>O12*T5+T11</f>
        <v>0</v>
      </c>
      <c r="U12" s="178">
        <f>M12*U5+U11</f>
        <v>0</v>
      </c>
      <c r="V12" s="178">
        <f>O12*V5+V11</f>
        <v>0</v>
      </c>
      <c r="W12" s="186">
        <f>(J12-K12-(L12-(N12*S5)-(M12*U5)-(O12*V5))*Q5+W11)</f>
        <v>296.96762783747283</v>
      </c>
    </row>
    <row r="13" spans="1:33" x14ac:dyDescent="0.2">
      <c r="A13" s="185" t="s">
        <v>115</v>
      </c>
      <c r="B13" s="175">
        <v>11950</v>
      </c>
      <c r="C13" s="193">
        <f t="shared" si="0"/>
        <v>50</v>
      </c>
      <c r="D13" s="175">
        <v>70.931445883797096</v>
      </c>
      <c r="E13" s="192">
        <f t="shared" si="7"/>
        <v>1.5</v>
      </c>
      <c r="F13" s="179">
        <v>20.631293412219701</v>
      </c>
      <c r="G13" s="175">
        <v>0</v>
      </c>
      <c r="H13" s="175">
        <v>0</v>
      </c>
      <c r="I13" s="175">
        <v>0</v>
      </c>
      <c r="J13" s="198">
        <f t="shared" si="1"/>
        <v>127.71045615294332</v>
      </c>
      <c r="K13" s="178">
        <f t="shared" si="2"/>
        <v>2.7777777777777777</v>
      </c>
      <c r="L13" s="198">
        <f t="shared" si="3"/>
        <v>33.02432027097278</v>
      </c>
      <c r="M13" s="178">
        <f t="shared" si="4"/>
        <v>0</v>
      </c>
      <c r="N13" s="178">
        <f t="shared" si="5"/>
        <v>0</v>
      </c>
      <c r="O13" s="178">
        <f t="shared" si="6"/>
        <v>0</v>
      </c>
      <c r="P13" s="178">
        <f>J13*P5+P12</f>
        <v>458.25961767067713</v>
      </c>
      <c r="Q13" s="198">
        <f>(L13-(N13*S5)-(M13*U5)-(O13*V5))*Q5+Q12</f>
        <v>68.874261143636687</v>
      </c>
      <c r="R13" s="178">
        <f>M13*R5+R12</f>
        <v>0</v>
      </c>
      <c r="S13" s="178">
        <f>N13*S5+S12</f>
        <v>0</v>
      </c>
      <c r="T13" s="178">
        <f>O13*T5+T12</f>
        <v>0</v>
      </c>
      <c r="U13" s="178">
        <f>M13*U5+U12</f>
        <v>0</v>
      </c>
      <c r="V13" s="178">
        <f>O13*V5+V12</f>
        <v>0</v>
      </c>
      <c r="W13" s="186">
        <f>(J13-K13-(L13-(N13*S5)-(M13*U5)-(O13*V5))*Q5+W12)</f>
        <v>378.96868986037379</v>
      </c>
    </row>
    <row r="14" spans="1:33" x14ac:dyDescent="0.2">
      <c r="A14" s="185" t="s">
        <v>116</v>
      </c>
      <c r="B14" s="175">
        <v>12000</v>
      </c>
      <c r="C14" s="193">
        <f t="shared" si="0"/>
        <v>50</v>
      </c>
      <c r="D14" s="175">
        <v>79.386128272349396</v>
      </c>
      <c r="E14" s="192">
        <f t="shared" si="7"/>
        <v>1.5</v>
      </c>
      <c r="F14" s="179">
        <v>6.0491940937972704</v>
      </c>
      <c r="G14" s="175">
        <v>0</v>
      </c>
      <c r="H14" s="175">
        <v>0</v>
      </c>
      <c r="I14" s="175">
        <v>0</v>
      </c>
      <c r="J14" s="198">
        <f t="shared" si="1"/>
        <v>139.18293903346898</v>
      </c>
      <c r="K14" s="178">
        <f t="shared" si="2"/>
        <v>2.7777777777777777</v>
      </c>
      <c r="L14" s="198">
        <f t="shared" si="3"/>
        <v>24.704155098163866</v>
      </c>
      <c r="M14" s="178">
        <f t="shared" si="4"/>
        <v>0</v>
      </c>
      <c r="N14" s="178">
        <f t="shared" si="5"/>
        <v>0</v>
      </c>
      <c r="O14" s="178">
        <f t="shared" si="6"/>
        <v>0</v>
      </c>
      <c r="P14" s="178">
        <f>J14*P5+P13</f>
        <v>597.44255670414611</v>
      </c>
      <c r="Q14" s="198">
        <f>(L14-(N14*S5)-(M14*U5)-(O14*V5))*Q5+Q13</f>
        <v>100.98966277124971</v>
      </c>
      <c r="R14" s="178">
        <f>M14*R5+R13</f>
        <v>0</v>
      </c>
      <c r="S14" s="178">
        <f>N14*S5+S13</f>
        <v>0</v>
      </c>
      <c r="T14" s="178">
        <f>O14*T5+T13</f>
        <v>0</v>
      </c>
      <c r="U14" s="178">
        <f>M14*U5+U13</f>
        <v>0</v>
      </c>
      <c r="V14" s="178">
        <f>O14*V5+V13</f>
        <v>0</v>
      </c>
      <c r="W14" s="186">
        <f>(J14-K14-(L14-(N14*S5)-(M14*U5)-(O14*V5))*Q5+W13)</f>
        <v>483.25844948845196</v>
      </c>
    </row>
    <row r="15" spans="1:33" x14ac:dyDescent="0.2">
      <c r="A15" s="185" t="s">
        <v>117</v>
      </c>
      <c r="B15" s="175">
        <v>12050</v>
      </c>
      <c r="C15" s="193">
        <f t="shared" si="0"/>
        <v>50</v>
      </c>
      <c r="D15" s="175">
        <v>76.500320735272894</v>
      </c>
      <c r="E15" s="192">
        <f t="shared" si="7"/>
        <v>1.5</v>
      </c>
      <c r="F15" s="179">
        <v>6.2911176148736496</v>
      </c>
      <c r="G15" s="175">
        <v>0</v>
      </c>
      <c r="H15" s="175">
        <v>0</v>
      </c>
      <c r="I15" s="175">
        <v>0</v>
      </c>
      <c r="J15" s="198">
        <f t="shared" si="1"/>
        <v>144.33930463668727</v>
      </c>
      <c r="K15" s="178">
        <f t="shared" si="2"/>
        <v>2.7777777777777777</v>
      </c>
      <c r="L15" s="198">
        <f t="shared" si="3"/>
        <v>11.426214545065667</v>
      </c>
      <c r="M15" s="178">
        <f t="shared" si="4"/>
        <v>0</v>
      </c>
      <c r="N15" s="178">
        <f t="shared" si="5"/>
        <v>0</v>
      </c>
      <c r="O15" s="178">
        <f t="shared" si="6"/>
        <v>0</v>
      </c>
      <c r="P15" s="178">
        <f>J15*P5+P14</f>
        <v>741.78186134083342</v>
      </c>
      <c r="Q15" s="198">
        <f>(L15-(N15*S5)-(M15*U5)-(O15*V5))*Q5+Q14</f>
        <v>115.84374167983508</v>
      </c>
      <c r="R15" s="178">
        <f>M15*R5+R14</f>
        <v>0</v>
      </c>
      <c r="S15" s="178">
        <f>N15*S5+S14</f>
        <v>0</v>
      </c>
      <c r="T15" s="178">
        <f>O15*T5+T14</f>
        <v>0</v>
      </c>
      <c r="U15" s="178">
        <f>M15*U5+U14</f>
        <v>0</v>
      </c>
      <c r="V15" s="178">
        <f>O15*V5+V14</f>
        <v>0</v>
      </c>
      <c r="W15" s="186">
        <f>(J15-K15-(L15-(N15*S5)-(M15*U5)-(O15*V5))*Q5+W14)</f>
        <v>609.9658974387761</v>
      </c>
    </row>
    <row r="16" spans="1:33" x14ac:dyDescent="0.2">
      <c r="A16" s="185" t="s">
        <v>118</v>
      </c>
      <c r="B16" s="175">
        <v>12053.23</v>
      </c>
      <c r="C16" s="193">
        <f t="shared" si="0"/>
        <v>3.2299999999995634</v>
      </c>
      <c r="D16" s="175">
        <v>76.348916820182495</v>
      </c>
      <c r="E16" s="192">
        <f t="shared" si="7"/>
        <v>1.5</v>
      </c>
      <c r="F16" s="179">
        <v>6.3734510388130703</v>
      </c>
      <c r="G16" s="175">
        <v>0</v>
      </c>
      <c r="H16" s="175">
        <v>0</v>
      </c>
      <c r="I16" s="175">
        <v>0</v>
      </c>
      <c r="J16" s="198">
        <f t="shared" si="1"/>
        <v>9.1426488389639662</v>
      </c>
      <c r="K16" s="178">
        <f t="shared" si="2"/>
        <v>0.1794444444444202</v>
      </c>
      <c r="L16" s="198">
        <f t="shared" si="3"/>
        <v>0.75752882872967731</v>
      </c>
      <c r="M16" s="178">
        <f t="shared" si="4"/>
        <v>0</v>
      </c>
      <c r="N16" s="178">
        <f t="shared" si="5"/>
        <v>0</v>
      </c>
      <c r="O16" s="178">
        <f t="shared" si="6"/>
        <v>0</v>
      </c>
      <c r="P16" s="178">
        <f>J16*P5+P15</f>
        <v>750.92451017979738</v>
      </c>
      <c r="Q16" s="198">
        <f>(L16-(N16*S5)-(M16*U5)-(O16*V5))*Q5+Q15</f>
        <v>116.82852915718365</v>
      </c>
      <c r="R16" s="178">
        <f>M16*R5+R15</f>
        <v>0</v>
      </c>
      <c r="S16" s="178">
        <f>N16*S5+S15</f>
        <v>0</v>
      </c>
      <c r="T16" s="178">
        <f>O16*T5+T15</f>
        <v>0</v>
      </c>
      <c r="U16" s="178">
        <f>M16*U5+U15</f>
        <v>0</v>
      </c>
      <c r="V16" s="178">
        <f>O16*V5+V15</f>
        <v>0</v>
      </c>
      <c r="W16" s="186">
        <f>(J16-K16-(L16-(N16*S5)-(M16*U5)-(O16*V5))*Q5+W15)</f>
        <v>617.94431435594709</v>
      </c>
    </row>
    <row r="17" spans="1:26" x14ac:dyDescent="0.2">
      <c r="A17" s="185" t="s">
        <v>119</v>
      </c>
      <c r="B17" s="175">
        <v>12100</v>
      </c>
      <c r="C17" s="193">
        <f t="shared" si="0"/>
        <v>46.770000000000437</v>
      </c>
      <c r="D17" s="175">
        <v>77.060315227779896</v>
      </c>
      <c r="E17" s="192">
        <f t="shared" si="7"/>
        <v>1.5</v>
      </c>
      <c r="F17" s="179">
        <v>5.6443644209048198</v>
      </c>
      <c r="G17" s="175">
        <v>0</v>
      </c>
      <c r="H17" s="175">
        <v>0</v>
      </c>
      <c r="I17" s="175">
        <v>0</v>
      </c>
      <c r="J17" s="198">
        <f t="shared" si="1"/>
        <v>132.86944042376422</v>
      </c>
      <c r="K17" s="178">
        <f t="shared" si="2"/>
        <v>2.5983333333333576</v>
      </c>
      <c r="L17" s="198">
        <f t="shared" si="3"/>
        <v>10.408763500944648</v>
      </c>
      <c r="M17" s="178">
        <f t="shared" si="4"/>
        <v>0</v>
      </c>
      <c r="N17" s="178">
        <f t="shared" si="5"/>
        <v>0</v>
      </c>
      <c r="O17" s="178">
        <f t="shared" si="6"/>
        <v>0</v>
      </c>
      <c r="P17" s="178">
        <f>J17*P5+P16</f>
        <v>883.7939506035616</v>
      </c>
      <c r="Q17" s="198">
        <f>(L17-(N17*S5)-(M17*U5)-(O17*V5))*Q5+Q16</f>
        <v>130.35992170841169</v>
      </c>
      <c r="R17" s="178">
        <f>M17*R5+R16</f>
        <v>0</v>
      </c>
      <c r="S17" s="178">
        <f>N17*S5+S16</f>
        <v>0</v>
      </c>
      <c r="T17" s="178">
        <f>O17*T5+T16</f>
        <v>0</v>
      </c>
      <c r="U17" s="178">
        <f>M17*U5+U16</f>
        <v>0</v>
      </c>
      <c r="V17" s="178">
        <f>O17*V5+V16</f>
        <v>0</v>
      </c>
      <c r="W17" s="186">
        <f>(J17-K17-(L17-(N17*S5)-(M17*U5)-(O17*V5))*Q5+W16)</f>
        <v>734.68402889514994</v>
      </c>
    </row>
    <row r="18" spans="1:26" x14ac:dyDescent="0.2">
      <c r="A18" s="185" t="s">
        <v>120</v>
      </c>
      <c r="B18" s="175">
        <v>12150</v>
      </c>
      <c r="C18" s="193">
        <f t="shared" si="0"/>
        <v>50</v>
      </c>
      <c r="D18" s="175">
        <v>75.193641880993894</v>
      </c>
      <c r="E18" s="192">
        <f t="shared" si="7"/>
        <v>1.5</v>
      </c>
      <c r="F18" s="179">
        <v>6.8106610194390704</v>
      </c>
      <c r="G18" s="175">
        <v>0</v>
      </c>
      <c r="H18" s="175">
        <v>0</v>
      </c>
      <c r="I18" s="175">
        <v>0</v>
      </c>
      <c r="J18" s="198">
        <f t="shared" si="1"/>
        <v>140.9758862118276</v>
      </c>
      <c r="K18" s="178">
        <f t="shared" si="2"/>
        <v>2.7777777777777777</v>
      </c>
      <c r="L18" s="198">
        <f t="shared" si="3"/>
        <v>11.53243096328138</v>
      </c>
      <c r="M18" s="178">
        <f t="shared" si="4"/>
        <v>0</v>
      </c>
      <c r="N18" s="178">
        <f t="shared" si="5"/>
        <v>0</v>
      </c>
      <c r="O18" s="178">
        <f t="shared" si="6"/>
        <v>0</v>
      </c>
      <c r="P18" s="178">
        <f>J18*P5+P17</f>
        <v>1024.7698368153892</v>
      </c>
      <c r="Q18" s="198">
        <f>(L18-(N18*S5)-(M18*U5)-(O18*V5))*Q5+Q17</f>
        <v>145.35208196067748</v>
      </c>
      <c r="R18" s="178">
        <f>M18*R5+R17</f>
        <v>0</v>
      </c>
      <c r="S18" s="178">
        <f>N18*S5+S17</f>
        <v>0</v>
      </c>
      <c r="T18" s="178">
        <f>O18*T5+T17</f>
        <v>0</v>
      </c>
      <c r="U18" s="178">
        <f>M18*U5+U17</f>
        <v>0</v>
      </c>
      <c r="V18" s="178">
        <f>O18*V5+V17</f>
        <v>0</v>
      </c>
      <c r="W18" s="186">
        <f>(J18-K18-(L18-(N18*S5)-(M18*U5)-(O18*V5))*Q5+W17)</f>
        <v>857.88997707693397</v>
      </c>
    </row>
    <row r="19" spans="1:26" x14ac:dyDescent="0.2">
      <c r="A19" s="185" t="s">
        <v>121</v>
      </c>
      <c r="B19" s="175">
        <v>12200</v>
      </c>
      <c r="C19" s="193">
        <f t="shared" si="0"/>
        <v>50</v>
      </c>
      <c r="D19" s="175">
        <v>73.098246497756406</v>
      </c>
      <c r="E19" s="192">
        <f t="shared" si="7"/>
        <v>1.5</v>
      </c>
      <c r="F19" s="179">
        <v>9.2486312242235709</v>
      </c>
      <c r="G19" s="175">
        <v>0</v>
      </c>
      <c r="H19" s="175">
        <v>0</v>
      </c>
      <c r="I19" s="175">
        <v>0</v>
      </c>
      <c r="J19" s="198">
        <f t="shared" si="1"/>
        <v>137.3073040543984</v>
      </c>
      <c r="K19" s="178">
        <f t="shared" si="2"/>
        <v>2.7777777777777777</v>
      </c>
      <c r="L19" s="198">
        <f t="shared" si="3"/>
        <v>14.869715040428369</v>
      </c>
      <c r="M19" s="178">
        <f t="shared" si="4"/>
        <v>0</v>
      </c>
      <c r="N19" s="178">
        <f t="shared" si="5"/>
        <v>0</v>
      </c>
      <c r="O19" s="178">
        <f t="shared" si="6"/>
        <v>0</v>
      </c>
      <c r="P19" s="178">
        <f>J19*P5+P18</f>
        <v>1162.0771408697876</v>
      </c>
      <c r="Q19" s="198">
        <f>(L19-(N19*S5)-(M19*U5)-(O19*V5))*Q5+Q18</f>
        <v>164.68271151323435</v>
      </c>
      <c r="R19" s="178">
        <f>M19*R5+R18</f>
        <v>0</v>
      </c>
      <c r="S19" s="178">
        <f>N19*S5+S18</f>
        <v>0</v>
      </c>
      <c r="T19" s="178">
        <f>O19*T5+T18</f>
        <v>0</v>
      </c>
      <c r="U19" s="178">
        <f>M19*U5+U18</f>
        <v>0</v>
      </c>
      <c r="V19" s="178">
        <f>O19*V5+V18</f>
        <v>0</v>
      </c>
      <c r="W19" s="186">
        <f>(J19-K19-(L19-(N19*S5)-(M19*U5)-(O19*V5))*Q5+W18)</f>
        <v>973.0888738009977</v>
      </c>
    </row>
    <row r="20" spans="1:26" x14ac:dyDescent="0.2">
      <c r="A20" s="185" t="s">
        <v>122</v>
      </c>
      <c r="B20" s="175">
        <v>12250</v>
      </c>
      <c r="C20" s="193">
        <f t="shared" si="0"/>
        <v>50</v>
      </c>
      <c r="D20" s="175">
        <v>70.989096632402806</v>
      </c>
      <c r="E20" s="192">
        <f t="shared" si="7"/>
        <v>1.5</v>
      </c>
      <c r="F20" s="179">
        <v>9.5198891863728896</v>
      </c>
      <c r="G20" s="175">
        <v>0</v>
      </c>
      <c r="H20" s="175">
        <v>0</v>
      </c>
      <c r="I20" s="175">
        <v>0</v>
      </c>
      <c r="J20" s="198">
        <f t="shared" si="1"/>
        <v>133.41420660199927</v>
      </c>
      <c r="K20" s="178">
        <f t="shared" si="2"/>
        <v>2.7777777777777777</v>
      </c>
      <c r="L20" s="198">
        <f t="shared" si="3"/>
        <v>17.378259639441165</v>
      </c>
      <c r="M20" s="178">
        <f t="shared" si="4"/>
        <v>0</v>
      </c>
      <c r="N20" s="178">
        <f t="shared" si="5"/>
        <v>0</v>
      </c>
      <c r="O20" s="178">
        <f t="shared" si="6"/>
        <v>0</v>
      </c>
      <c r="P20" s="178">
        <f>J20*P5+P19</f>
        <v>1295.4913474717869</v>
      </c>
      <c r="Q20" s="198">
        <f>(L20-(N20*S5)-(M20*U5)-(O20*V5))*Q5+Q19</f>
        <v>187.27444904450786</v>
      </c>
      <c r="R20" s="178">
        <f>M20*R5+R19</f>
        <v>0</v>
      </c>
      <c r="S20" s="178">
        <f>N20*S5+S19</f>
        <v>0</v>
      </c>
      <c r="T20" s="178">
        <f>O20*T5+T19</f>
        <v>0</v>
      </c>
      <c r="U20" s="178">
        <f>M20*U5+U19</f>
        <v>0</v>
      </c>
      <c r="V20" s="178">
        <f>O20*V5+V19</f>
        <v>0</v>
      </c>
      <c r="W20" s="186">
        <f>(J20-K20-(L20-(N20*S5)-(M20*U5)-(O20*V5))*Q5+W19)</f>
        <v>1081.1335650939457</v>
      </c>
    </row>
    <row r="21" spans="1:26" x14ac:dyDescent="0.2">
      <c r="A21" s="185" t="s">
        <v>123</v>
      </c>
      <c r="B21" s="175">
        <v>12300</v>
      </c>
      <c r="C21" s="193">
        <f t="shared" si="0"/>
        <v>50</v>
      </c>
      <c r="D21" s="175">
        <v>72.209751662768397</v>
      </c>
      <c r="E21" s="192">
        <f t="shared" si="7"/>
        <v>1.5</v>
      </c>
      <c r="F21" s="179">
        <v>7.9343663902836798</v>
      </c>
      <c r="G21" s="175">
        <v>0</v>
      </c>
      <c r="H21" s="175">
        <v>0</v>
      </c>
      <c r="I21" s="175">
        <v>0</v>
      </c>
      <c r="J21" s="198">
        <f t="shared" si="1"/>
        <v>132.59152619923259</v>
      </c>
      <c r="K21" s="178">
        <f t="shared" si="2"/>
        <v>2.7777777777777777</v>
      </c>
      <c r="L21" s="198">
        <f t="shared" si="3"/>
        <v>16.161347756163494</v>
      </c>
      <c r="M21" s="178">
        <f t="shared" si="4"/>
        <v>0</v>
      </c>
      <c r="N21" s="178">
        <f t="shared" si="5"/>
        <v>0</v>
      </c>
      <c r="O21" s="178">
        <f t="shared" si="6"/>
        <v>0</v>
      </c>
      <c r="P21" s="178">
        <f>J21*P5+P20</f>
        <v>1428.0828736710196</v>
      </c>
      <c r="Q21" s="198">
        <f>(L21-(N21*S5)-(M21*U5)-(O21*V5))*Q5+Q20</f>
        <v>208.28420112752042</v>
      </c>
      <c r="R21" s="178">
        <f>M21*R5+R20</f>
        <v>0</v>
      </c>
      <c r="S21" s="178">
        <f>N21*S5+S20</f>
        <v>0</v>
      </c>
      <c r="T21" s="178">
        <f>O21*T5+T20</f>
        <v>0</v>
      </c>
      <c r="U21" s="178">
        <f>M21*U5+U20</f>
        <v>0</v>
      </c>
      <c r="V21" s="178">
        <f>O21*V5+V20</f>
        <v>0</v>
      </c>
      <c r="W21" s="186">
        <f>(J21-K21-(L21-(N21*S5)-(M21*U5)-(O21*V5))*Q5+W20)</f>
        <v>1189.9375614323878</v>
      </c>
    </row>
    <row r="22" spans="1:26" x14ac:dyDescent="0.2">
      <c r="A22" s="185" t="s">
        <v>124</v>
      </c>
      <c r="B22" s="175">
        <v>12313.62</v>
      </c>
      <c r="C22" s="193">
        <f t="shared" si="0"/>
        <v>13.6200000000008</v>
      </c>
      <c r="D22" s="175">
        <v>72.962185294694706</v>
      </c>
      <c r="E22" s="192">
        <f t="shared" si="7"/>
        <v>1.5</v>
      </c>
      <c r="F22" s="179">
        <v>7.6060496079189797</v>
      </c>
      <c r="G22" s="175">
        <v>0</v>
      </c>
      <c r="H22" s="175">
        <v>0</v>
      </c>
      <c r="I22" s="175">
        <v>0</v>
      </c>
      <c r="J22" s="198">
        <f t="shared" si="1"/>
        <v>36.615588543717848</v>
      </c>
      <c r="K22" s="178">
        <f t="shared" si="2"/>
        <v>0.75666666666671112</v>
      </c>
      <c r="L22" s="198">
        <f t="shared" si="3"/>
        <v>3.9196382573246789</v>
      </c>
      <c r="M22" s="178">
        <f t="shared" si="4"/>
        <v>0</v>
      </c>
      <c r="N22" s="178">
        <f t="shared" si="5"/>
        <v>0</v>
      </c>
      <c r="O22" s="178">
        <f t="shared" si="6"/>
        <v>0</v>
      </c>
      <c r="P22" s="178">
        <f>J22*P5+P21</f>
        <v>1464.6984622147374</v>
      </c>
      <c r="Q22" s="198">
        <f>(L22-(N22*S5)-(M22*U5)-(O22*V5))*Q5+Q21</f>
        <v>213.37973086204249</v>
      </c>
      <c r="R22" s="178">
        <f>M22*R5+R21</f>
        <v>0</v>
      </c>
      <c r="S22" s="178">
        <f>N22*S5+S21</f>
        <v>0</v>
      </c>
      <c r="T22" s="178">
        <f>O22*T5+T21</f>
        <v>0</v>
      </c>
      <c r="U22" s="178">
        <f>M22*U5+U21</f>
        <v>0</v>
      </c>
      <c r="V22" s="178">
        <f>O22*V5+V21</f>
        <v>0</v>
      </c>
      <c r="W22" s="186">
        <f>(J22-K22-(L22-(N22*S5)-(M22*U5)-(O22*V5))*Q5+W21)</f>
        <v>1220.7009535749169</v>
      </c>
    </row>
    <row r="23" spans="1:26" x14ac:dyDescent="0.2">
      <c r="A23" s="185" t="s">
        <v>125</v>
      </c>
      <c r="B23" s="175">
        <v>12350</v>
      </c>
      <c r="C23" s="193">
        <f t="shared" si="0"/>
        <v>36.3799999999992</v>
      </c>
      <c r="D23" s="175">
        <v>75.609309350817995</v>
      </c>
      <c r="E23" s="192">
        <f t="shared" si="7"/>
        <v>1.5</v>
      </c>
      <c r="F23" s="179">
        <v>4.30807138499949</v>
      </c>
      <c r="G23" s="175">
        <v>0</v>
      </c>
      <c r="H23" s="175">
        <v>0</v>
      </c>
      <c r="I23" s="175">
        <v>0</v>
      </c>
      <c r="J23" s="198">
        <f t="shared" si="1"/>
        <v>100.09316620747468</v>
      </c>
      <c r="K23" s="178">
        <f t="shared" si="2"/>
        <v>2.0211111111110664</v>
      </c>
      <c r="L23" s="198">
        <f t="shared" si="3"/>
        <v>8.0265874393030447</v>
      </c>
      <c r="M23" s="178">
        <f t="shared" si="4"/>
        <v>0</v>
      </c>
      <c r="N23" s="178">
        <f t="shared" si="5"/>
        <v>0</v>
      </c>
      <c r="O23" s="178">
        <f t="shared" si="6"/>
        <v>0</v>
      </c>
      <c r="P23" s="178">
        <f>J23*P5+P22</f>
        <v>1564.7916284222122</v>
      </c>
      <c r="Q23" s="198">
        <f>(L23-(N23*S5)-(M23*U5)-(O23*V5))*Q5+Q22</f>
        <v>223.81429453313646</v>
      </c>
      <c r="R23" s="178">
        <f>M23*R5+R22</f>
        <v>0</v>
      </c>
      <c r="S23" s="178">
        <f>N23*S5+S22</f>
        <v>0</v>
      </c>
      <c r="T23" s="178">
        <f>O23*T5+T22</f>
        <v>0</v>
      </c>
      <c r="U23" s="178">
        <f>M23*U5+U22</f>
        <v>0</v>
      </c>
      <c r="V23" s="178">
        <f>O23*V5+V22</f>
        <v>0</v>
      </c>
      <c r="W23" s="186">
        <f>(J23-K23-(L23-(N23*S5)-(M23*U5)-(O23*V5))*Q5+W22)</f>
        <v>1308.3384450001865</v>
      </c>
      <c r="X23" s="163"/>
      <c r="Y23" s="163"/>
      <c r="Z23" s="163"/>
    </row>
    <row r="24" spans="1:26" x14ac:dyDescent="0.2">
      <c r="A24" s="185" t="s">
        <v>126</v>
      </c>
      <c r="B24" s="175">
        <v>12400</v>
      </c>
      <c r="C24" s="193">
        <f t="shared" si="0"/>
        <v>50</v>
      </c>
      <c r="D24" s="175">
        <v>82.862702922557403</v>
      </c>
      <c r="E24" s="192">
        <f t="shared" si="7"/>
        <v>1.5</v>
      </c>
      <c r="F24" s="175">
        <v>0.25066486045398001</v>
      </c>
      <c r="G24" s="175">
        <v>0</v>
      </c>
      <c r="H24" s="175">
        <v>0</v>
      </c>
      <c r="I24" s="175">
        <v>0</v>
      </c>
      <c r="J24" s="198">
        <f t="shared" si="1"/>
        <v>146.73334469756981</v>
      </c>
      <c r="K24" s="178">
        <f t="shared" si="2"/>
        <v>2.7777777777777777</v>
      </c>
      <c r="L24" s="198">
        <f t="shared" si="3"/>
        <v>4.2210520791235826</v>
      </c>
      <c r="M24" s="178">
        <f t="shared" si="4"/>
        <v>0</v>
      </c>
      <c r="N24" s="178">
        <f t="shared" si="5"/>
        <v>0</v>
      </c>
      <c r="O24" s="178">
        <f t="shared" si="6"/>
        <v>0</v>
      </c>
      <c r="P24" s="178">
        <f>J24*P5+P23</f>
        <v>1711.5249731197819</v>
      </c>
      <c r="Q24" s="198">
        <f>(L24-(N24*S5)-(M24*U5)-(O24*V5))*Q5+Q23</f>
        <v>229.30166223599713</v>
      </c>
      <c r="R24" s="178">
        <f>M24*R5+R23</f>
        <v>0</v>
      </c>
      <c r="S24" s="178">
        <f>N24*S5+S23</f>
        <v>0</v>
      </c>
      <c r="T24" s="178">
        <f>O24*T5+T23</f>
        <v>0</v>
      </c>
      <c r="U24" s="178">
        <f>M24*U5+U23</f>
        <v>0</v>
      </c>
      <c r="V24" s="178">
        <f>O24*V5+V23</f>
        <v>0</v>
      </c>
      <c r="W24" s="186">
        <f>(J24-K24-(L24-(N24*S5)-(M24*U5)-(O24*V5))*Q5+W23)</f>
        <v>1446.806644217118</v>
      </c>
      <c r="X24" s="163"/>
      <c r="Y24" s="163"/>
      <c r="Z24" s="163"/>
    </row>
    <row r="25" spans="1:26" x14ac:dyDescent="0.2">
      <c r="A25" s="185" t="s">
        <v>127</v>
      </c>
      <c r="B25" s="175">
        <v>12450</v>
      </c>
      <c r="C25" s="193">
        <f t="shared" si="0"/>
        <v>50</v>
      </c>
      <c r="D25" s="175">
        <v>63.601036905214897</v>
      </c>
      <c r="E25" s="192">
        <f t="shared" si="7"/>
        <v>1.5</v>
      </c>
      <c r="F25" s="175">
        <v>30.358151716690401</v>
      </c>
      <c r="G25" s="175">
        <v>0</v>
      </c>
      <c r="H25" s="175">
        <v>0</v>
      </c>
      <c r="I25" s="175">
        <v>0</v>
      </c>
      <c r="J25" s="198">
        <f t="shared" si="1"/>
        <v>135.61457391460399</v>
      </c>
      <c r="K25" s="178">
        <f t="shared" si="2"/>
        <v>2.7777777777777777</v>
      </c>
      <c r="L25" s="198">
        <f t="shared" si="3"/>
        <v>28.341496830689241</v>
      </c>
      <c r="M25" s="178">
        <f t="shared" si="4"/>
        <v>0</v>
      </c>
      <c r="N25" s="178">
        <f t="shared" si="5"/>
        <v>0</v>
      </c>
      <c r="O25" s="178">
        <f t="shared" si="6"/>
        <v>0</v>
      </c>
      <c r="P25" s="178">
        <f>J25*P5+P24</f>
        <v>1847.1395470343859</v>
      </c>
      <c r="Q25" s="198">
        <f>(L25-(N25*S5)-(M25*U5)-(O25*V5))*Q5+Q24</f>
        <v>266.14560811589314</v>
      </c>
      <c r="R25" s="178">
        <f>M25*R5+R24</f>
        <v>0</v>
      </c>
      <c r="S25" s="178">
        <f>N25*S5+S24</f>
        <v>0</v>
      </c>
      <c r="T25" s="178">
        <f>O25*T5+T24</f>
        <v>0</v>
      </c>
      <c r="U25" s="178">
        <f>M25*U5+U24</f>
        <v>0</v>
      </c>
      <c r="V25" s="178">
        <f>O25*V5+V24</f>
        <v>0</v>
      </c>
      <c r="W25" s="186">
        <f>(J25-K25-(L25-(N25*S5)-(M25*U5)-(O25*V5))*Q5+W24)</f>
        <v>1542.7994944740483</v>
      </c>
      <c r="X25" s="163"/>
      <c r="Y25" s="163"/>
      <c r="Z25" s="163"/>
    </row>
    <row r="26" spans="1:26" x14ac:dyDescent="0.2">
      <c r="A26" s="185" t="s">
        <v>128</v>
      </c>
      <c r="B26" s="175">
        <v>12500</v>
      </c>
      <c r="C26" s="193">
        <f t="shared" si="0"/>
        <v>50</v>
      </c>
      <c r="D26" s="175">
        <v>60.8711722739408</v>
      </c>
      <c r="E26" s="192">
        <f t="shared" si="7"/>
        <v>1.5</v>
      </c>
      <c r="F26" s="175">
        <v>20.957828075333101</v>
      </c>
      <c r="G26" s="175">
        <v>0</v>
      </c>
      <c r="H26" s="175">
        <v>0</v>
      </c>
      <c r="I26" s="175">
        <v>0</v>
      </c>
      <c r="J26" s="198">
        <f t="shared" si="1"/>
        <v>115.25204553625527</v>
      </c>
      <c r="K26" s="178">
        <f t="shared" si="2"/>
        <v>2.7777777777777777</v>
      </c>
      <c r="L26" s="198">
        <f t="shared" si="3"/>
        <v>47.514796103725466</v>
      </c>
      <c r="M26" s="178">
        <f t="shared" si="4"/>
        <v>0</v>
      </c>
      <c r="N26" s="178">
        <f t="shared" si="5"/>
        <v>0</v>
      </c>
      <c r="O26" s="178">
        <f t="shared" si="6"/>
        <v>0</v>
      </c>
      <c r="P26" s="178">
        <f>J26*P5+P25</f>
        <v>1962.3915925706413</v>
      </c>
      <c r="Q26" s="198">
        <f>(L26-(N26*S5)-(M26*U5)-(O26*V5))*Q5+Q25</f>
        <v>327.91484305073624</v>
      </c>
      <c r="R26" s="178">
        <f>M26*R5+R25</f>
        <v>0</v>
      </c>
      <c r="S26" s="178">
        <f>N26*S5+S25</f>
        <v>0</v>
      </c>
      <c r="T26" s="178">
        <f>O26*T5+T25</f>
        <v>0</v>
      </c>
      <c r="U26" s="178">
        <f>M26*U5+U25</f>
        <v>0</v>
      </c>
      <c r="V26" s="178">
        <f>O26*V5+V25</f>
        <v>0</v>
      </c>
      <c r="W26" s="186">
        <f>(J26-K26-(L26-(N26*S5)-(M26*U5)-(O26*V5))*Q5+W25)</f>
        <v>1593.5045272976827</v>
      </c>
      <c r="X26" s="163"/>
      <c r="Y26" s="163"/>
      <c r="Z26" s="163"/>
    </row>
    <row r="27" spans="1:26" x14ac:dyDescent="0.2">
      <c r="A27" s="185" t="s">
        <v>129</v>
      </c>
      <c r="B27" s="175">
        <v>12550</v>
      </c>
      <c r="C27" s="193">
        <f t="shared" si="0"/>
        <v>50</v>
      </c>
      <c r="D27" s="175">
        <v>60.969391837352703</v>
      </c>
      <c r="E27" s="192">
        <f t="shared" si="7"/>
        <v>1.5</v>
      </c>
      <c r="F27" s="175">
        <v>9.2950419981643808</v>
      </c>
      <c r="G27" s="175">
        <v>0</v>
      </c>
      <c r="H27" s="175">
        <v>0</v>
      </c>
      <c r="I27" s="175">
        <v>0</v>
      </c>
      <c r="J27" s="198">
        <f t="shared" si="1"/>
        <v>112.81533714008657</v>
      </c>
      <c r="K27" s="178">
        <f t="shared" si="2"/>
        <v>2.7777777777777777</v>
      </c>
      <c r="L27" s="198">
        <f t="shared" si="3"/>
        <v>28.011916734719893</v>
      </c>
      <c r="M27" s="178">
        <f t="shared" si="4"/>
        <v>0</v>
      </c>
      <c r="N27" s="178">
        <f t="shared" si="5"/>
        <v>0</v>
      </c>
      <c r="O27" s="178">
        <f t="shared" si="6"/>
        <v>0</v>
      </c>
      <c r="P27" s="178">
        <f>J27*P5+P26</f>
        <v>2075.2069297107278</v>
      </c>
      <c r="Q27" s="198">
        <f>(L27-(N27*S5)-(M27*U5)-(O27*V5))*Q5+Q26</f>
        <v>364.3303348058721</v>
      </c>
      <c r="R27" s="178">
        <f>M27*R5+R26</f>
        <v>0</v>
      </c>
      <c r="S27" s="178">
        <f>N27*S5+S26</f>
        <v>0</v>
      </c>
      <c r="T27" s="178">
        <f>O27*T5+T26</f>
        <v>0</v>
      </c>
      <c r="U27" s="178">
        <f>M27*U5+U26</f>
        <v>0</v>
      </c>
      <c r="V27" s="178">
        <f>O27*V5+V26</f>
        <v>0</v>
      </c>
      <c r="W27" s="186">
        <f>(J27-K27-(L27-(N27*S5)-(M27*U5)-(O27*V5))*Q5+W26)</f>
        <v>1667.1265949048557</v>
      </c>
      <c r="X27" s="163"/>
      <c r="Y27" s="163"/>
      <c r="Z27" s="163"/>
    </row>
    <row r="28" spans="1:26" x14ac:dyDescent="0.2">
      <c r="A28" s="185" t="s">
        <v>130</v>
      </c>
      <c r="B28" s="175">
        <v>12600</v>
      </c>
      <c r="C28" s="193">
        <f t="shared" si="0"/>
        <v>50</v>
      </c>
      <c r="D28" s="175">
        <v>61.383988172125001</v>
      </c>
      <c r="E28" s="192">
        <f t="shared" si="7"/>
        <v>1.5</v>
      </c>
      <c r="F28" s="175">
        <v>7.1323117515021304</v>
      </c>
      <c r="G28" s="175">
        <v>0</v>
      </c>
      <c r="H28" s="175">
        <v>0</v>
      </c>
      <c r="I28" s="175">
        <v>0</v>
      </c>
      <c r="J28" s="198">
        <f t="shared" si="1"/>
        <v>113.29016667544231</v>
      </c>
      <c r="K28" s="178">
        <f t="shared" si="2"/>
        <v>2.7777777777777777</v>
      </c>
      <c r="L28" s="198">
        <f t="shared" si="3"/>
        <v>15.210512731172697</v>
      </c>
      <c r="M28" s="178">
        <f t="shared" si="4"/>
        <v>0</v>
      </c>
      <c r="N28" s="178">
        <f t="shared" si="5"/>
        <v>0</v>
      </c>
      <c r="O28" s="178">
        <f t="shared" si="6"/>
        <v>0</v>
      </c>
      <c r="P28" s="178">
        <f>J28*P5+P27</f>
        <v>2188.4970963861701</v>
      </c>
      <c r="Q28" s="198">
        <f>(L28-(N28*S5)-(M28*U5)-(O28*V5))*Q5+Q27</f>
        <v>384.10400135639662</v>
      </c>
      <c r="R28" s="178">
        <f>M28*R5+R27</f>
        <v>0</v>
      </c>
      <c r="S28" s="178">
        <f>N28*S5+S27</f>
        <v>0</v>
      </c>
      <c r="T28" s="178">
        <f>O28*T5+T27</f>
        <v>0</v>
      </c>
      <c r="U28" s="178">
        <f>M28*U5+U27</f>
        <v>0</v>
      </c>
      <c r="V28" s="178">
        <f>O28*V5+V27</f>
        <v>0</v>
      </c>
      <c r="W28" s="186">
        <f>(J28-K28-(L28-(N28*S5)-(M28*U5)-(O28*V5))*Q5+W27)</f>
        <v>1757.8653172519957</v>
      </c>
      <c r="X28" s="163"/>
      <c r="Y28" s="163"/>
      <c r="Z28" s="163"/>
    </row>
    <row r="29" spans="1:26" x14ac:dyDescent="0.2">
      <c r="A29" s="185" t="s">
        <v>131</v>
      </c>
      <c r="B29" s="175">
        <v>12650</v>
      </c>
      <c r="C29" s="193">
        <f t="shared" si="0"/>
        <v>50</v>
      </c>
      <c r="D29" s="175">
        <v>45.099066551220098</v>
      </c>
      <c r="E29" s="192">
        <f t="shared" si="7"/>
        <v>1.5</v>
      </c>
      <c r="F29" s="175">
        <v>6.8185741329080001</v>
      </c>
      <c r="G29" s="175">
        <v>0</v>
      </c>
      <c r="H29" s="175">
        <v>0</v>
      </c>
      <c r="I29" s="175">
        <v>0</v>
      </c>
      <c r="J29" s="198">
        <f t="shared" si="1"/>
        <v>98.595421040134354</v>
      </c>
      <c r="K29" s="178">
        <f t="shared" si="2"/>
        <v>2.7777777777777777</v>
      </c>
      <c r="L29" s="198">
        <f t="shared" si="3"/>
        <v>12.917486930009382</v>
      </c>
      <c r="M29" s="178">
        <f t="shared" si="4"/>
        <v>0</v>
      </c>
      <c r="N29" s="178">
        <f t="shared" si="5"/>
        <v>0</v>
      </c>
      <c r="O29" s="178">
        <f t="shared" si="6"/>
        <v>0</v>
      </c>
      <c r="P29" s="178">
        <f>J29*P5+P28</f>
        <v>2287.0925174263043</v>
      </c>
      <c r="Q29" s="198">
        <f>(L29-(N29*S5)-(M29*U5)-(O29*V5))*Q5+Q28</f>
        <v>400.8967343654088</v>
      </c>
      <c r="R29" s="178">
        <f>M29*R5+R28</f>
        <v>0</v>
      </c>
      <c r="S29" s="178">
        <f>N29*S5+S28</f>
        <v>0</v>
      </c>
      <c r="T29" s="178">
        <f>O29*T5+T28</f>
        <v>0</v>
      </c>
      <c r="U29" s="178">
        <f>M29*U5+U28</f>
        <v>0</v>
      </c>
      <c r="V29" s="178">
        <f>O29*V5+V28</f>
        <v>0</v>
      </c>
      <c r="W29" s="186">
        <f>(J29-K29-(L29-(N29*S5)-(M29*U5)-(O29*V5))*Q5+W28)</f>
        <v>1836.8902275053401</v>
      </c>
    </row>
    <row r="30" spans="1:26" x14ac:dyDescent="0.2">
      <c r="A30" s="185" t="s">
        <v>132</v>
      </c>
      <c r="B30" s="175">
        <v>12700</v>
      </c>
      <c r="C30" s="193">
        <f t="shared" si="0"/>
        <v>50</v>
      </c>
      <c r="D30" s="175">
        <v>42.628397205576498</v>
      </c>
      <c r="E30" s="192">
        <f t="shared" si="7"/>
        <v>1.5</v>
      </c>
      <c r="F30" s="175">
        <v>6.6741220598341897</v>
      </c>
      <c r="G30" s="175">
        <v>0</v>
      </c>
      <c r="H30" s="175">
        <v>0</v>
      </c>
      <c r="I30" s="175">
        <v>0</v>
      </c>
      <c r="J30" s="198">
        <f t="shared" si="1"/>
        <v>81.229133108144993</v>
      </c>
      <c r="K30" s="178">
        <f t="shared" si="2"/>
        <v>2.7777777777777777</v>
      </c>
      <c r="L30" s="198">
        <f t="shared" si="3"/>
        <v>12.493237215502029</v>
      </c>
      <c r="M30" s="178">
        <f t="shared" si="4"/>
        <v>0</v>
      </c>
      <c r="N30" s="178">
        <f t="shared" si="5"/>
        <v>0</v>
      </c>
      <c r="O30" s="178">
        <f t="shared" si="6"/>
        <v>0</v>
      </c>
      <c r="P30" s="178">
        <f>J30*P5+P29</f>
        <v>2368.3216505344494</v>
      </c>
      <c r="Q30" s="198">
        <f>(L30-(N30*S5)-(M30*U5)-(O30*V5))*Q5+Q29</f>
        <v>417.13794274556142</v>
      </c>
      <c r="R30" s="178">
        <f>M30*R5+R29</f>
        <v>0</v>
      </c>
      <c r="S30" s="178">
        <f>N30*S5+S29</f>
        <v>0</v>
      </c>
      <c r="T30" s="178">
        <f>O30*T5+T29</f>
        <v>0</v>
      </c>
      <c r="U30" s="178">
        <f>M30*U5+U29</f>
        <v>0</v>
      </c>
      <c r="V30" s="178">
        <f>O30*V5+V29</f>
        <v>0</v>
      </c>
      <c r="W30" s="186">
        <f>(J30-K30-(L30-(N30*S5)-(M30*U5)-(O30*V5))*Q5+W29)</f>
        <v>1899.1003744555546</v>
      </c>
    </row>
    <row r="31" spans="1:26" x14ac:dyDescent="0.2">
      <c r="A31" s="185" t="s">
        <v>133</v>
      </c>
      <c r="B31" s="175">
        <v>12750</v>
      </c>
      <c r="C31" s="193">
        <f t="shared" si="0"/>
        <v>50</v>
      </c>
      <c r="D31" s="175">
        <v>36.901901112912299</v>
      </c>
      <c r="E31" s="192">
        <f t="shared" si="7"/>
        <v>1.5</v>
      </c>
      <c r="F31" s="175">
        <v>3.1017705819558601</v>
      </c>
      <c r="G31" s="175">
        <v>0</v>
      </c>
      <c r="H31" s="175">
        <v>0</v>
      </c>
      <c r="I31" s="175">
        <v>0</v>
      </c>
      <c r="J31" s="198">
        <f t="shared" si="1"/>
        <v>73.639165109711854</v>
      </c>
      <c r="K31" s="178">
        <f t="shared" si="2"/>
        <v>2.7777777777777777</v>
      </c>
      <c r="L31" s="198">
        <f t="shared" si="3"/>
        <v>9.0517524461018972</v>
      </c>
      <c r="M31" s="178">
        <f t="shared" si="4"/>
        <v>0</v>
      </c>
      <c r="N31" s="178">
        <f t="shared" si="5"/>
        <v>0</v>
      </c>
      <c r="O31" s="178">
        <f t="shared" si="6"/>
        <v>0</v>
      </c>
      <c r="P31" s="178">
        <f>J31*P5+P30</f>
        <v>2441.9608156441614</v>
      </c>
      <c r="Q31" s="198">
        <f>(L31-(N31*S5)-(M31*U5)-(O31*V5))*Q5+Q30</f>
        <v>428.90522092549389</v>
      </c>
      <c r="R31" s="178">
        <f>M31*R5+R30</f>
        <v>0</v>
      </c>
      <c r="S31" s="178">
        <f>N31*S5+S30</f>
        <v>0</v>
      </c>
      <c r="T31" s="178">
        <f>O31*T5+T30</f>
        <v>0</v>
      </c>
      <c r="U31" s="178">
        <f>M31*U5+U30</f>
        <v>0</v>
      </c>
      <c r="V31" s="178">
        <f>O31*V5+V30</f>
        <v>0</v>
      </c>
      <c r="W31" s="186">
        <f>(J31-K31-(L31-(N31*S5)-(M31*U5)-(O31*V5))*Q5+W30)</f>
        <v>1958.1944836075563</v>
      </c>
    </row>
    <row r="32" spans="1:26" x14ac:dyDescent="0.2">
      <c r="A32" s="185" t="s">
        <v>134</v>
      </c>
      <c r="B32" s="175">
        <v>12800</v>
      </c>
      <c r="C32" s="193">
        <f t="shared" si="0"/>
        <v>50</v>
      </c>
      <c r="D32" s="175">
        <v>40.921291499180299</v>
      </c>
      <c r="E32" s="192">
        <f t="shared" si="7"/>
        <v>1.5</v>
      </c>
      <c r="F32" s="175">
        <v>0.63552858641924104</v>
      </c>
      <c r="G32" s="175">
        <v>0</v>
      </c>
      <c r="H32" s="175">
        <v>0</v>
      </c>
      <c r="I32" s="175">
        <v>0</v>
      </c>
      <c r="J32" s="198">
        <f t="shared" si="1"/>
        <v>72.058511677863521</v>
      </c>
      <c r="K32" s="178">
        <f t="shared" si="2"/>
        <v>2.7777777777777777</v>
      </c>
      <c r="L32" s="198">
        <f t="shared" si="3"/>
        <v>3.4604621929399086</v>
      </c>
      <c r="M32" s="178">
        <f t="shared" si="4"/>
        <v>0</v>
      </c>
      <c r="N32" s="178">
        <f t="shared" si="5"/>
        <v>0</v>
      </c>
      <c r="O32" s="178">
        <f t="shared" si="6"/>
        <v>0</v>
      </c>
      <c r="P32" s="178">
        <f>J32*P5+P31</f>
        <v>2514.0193273220248</v>
      </c>
      <c r="Q32" s="198">
        <f>(L32-(N32*S5)-(M32*U5)-(O32*V5))*Q5+Q31</f>
        <v>433.40382177631579</v>
      </c>
      <c r="R32" s="178">
        <f>M32*R5+R31</f>
        <v>0</v>
      </c>
      <c r="S32" s="178">
        <f>N32*S5+S31</f>
        <v>0</v>
      </c>
      <c r="T32" s="178">
        <f>O32*T5+T31</f>
        <v>0</v>
      </c>
      <c r="U32" s="178">
        <f>M32*U5+U31</f>
        <v>0</v>
      </c>
      <c r="V32" s="178">
        <f>O32*V5+V31</f>
        <v>0</v>
      </c>
      <c r="W32" s="186">
        <f>(J32-K32-(L32-(N32*S5)-(M32*U5)-(O32*V5))*Q5+W31)</f>
        <v>2022.9766166568202</v>
      </c>
    </row>
    <row r="33" spans="1:26" x14ac:dyDescent="0.2">
      <c r="A33" s="185" t="s">
        <v>135</v>
      </c>
      <c r="B33" s="175">
        <v>12850</v>
      </c>
      <c r="C33" s="193">
        <f t="shared" si="0"/>
        <v>50</v>
      </c>
      <c r="D33" s="175">
        <v>20.610313520697702</v>
      </c>
      <c r="E33" s="192">
        <f>((3/12)*3)</f>
        <v>0.75</v>
      </c>
      <c r="F33" s="175">
        <v>2.0415381586644799E-2</v>
      </c>
      <c r="G33" s="175">
        <v>0</v>
      </c>
      <c r="H33" s="175">
        <v>0</v>
      </c>
      <c r="I33" s="175">
        <v>0</v>
      </c>
      <c r="J33" s="198">
        <f t="shared" si="1"/>
        <v>56.973708351738885</v>
      </c>
      <c r="K33" s="178">
        <f t="shared" si="2"/>
        <v>2.0833333333333335</v>
      </c>
      <c r="L33" s="198">
        <f t="shared" si="3"/>
        <v>0.60735552593137576</v>
      </c>
      <c r="M33" s="178">
        <f t="shared" si="4"/>
        <v>0</v>
      </c>
      <c r="N33" s="178">
        <f t="shared" si="5"/>
        <v>0</v>
      </c>
      <c r="O33" s="178">
        <f t="shared" si="6"/>
        <v>0</v>
      </c>
      <c r="P33" s="178">
        <f>J33*P5+P32</f>
        <v>2570.9930356737636</v>
      </c>
      <c r="Q33" s="198">
        <f>(L33-(N33*S5)-(M33*U5)-(O33*V5))*Q5+Q32</f>
        <v>434.19338396002661</v>
      </c>
      <c r="R33" s="178">
        <f>M33*R5+R32</f>
        <v>0</v>
      </c>
      <c r="S33" s="178">
        <f>N33*S5+S32</f>
        <v>0</v>
      </c>
      <c r="T33" s="178">
        <f>O33*T5+T32</f>
        <v>0</v>
      </c>
      <c r="U33" s="178">
        <f>M33*U5+U32</f>
        <v>0</v>
      </c>
      <c r="V33" s="178">
        <f>O33*V5+V32</f>
        <v>0</v>
      </c>
      <c r="W33" s="186">
        <f>(J33-K33-(L33-(N33*S5)-(M33*U5)-(O33*V5))*Q5+W32)</f>
        <v>2077.077429491515</v>
      </c>
    </row>
    <row r="34" spans="1:26" x14ac:dyDescent="0.2">
      <c r="A34" s="185" t="s">
        <v>136</v>
      </c>
      <c r="B34" s="175">
        <v>12900</v>
      </c>
      <c r="C34" s="193">
        <f t="shared" si="0"/>
        <v>50</v>
      </c>
      <c r="D34" s="175">
        <v>22.2192179150152</v>
      </c>
      <c r="E34" s="192">
        <f>((3/12)*3)</f>
        <v>0.75</v>
      </c>
      <c r="F34" s="175">
        <v>7.3186275370971998E-2</v>
      </c>
      <c r="G34" s="175">
        <v>0</v>
      </c>
      <c r="H34" s="175">
        <v>0</v>
      </c>
      <c r="I34" s="175">
        <v>0</v>
      </c>
      <c r="J34" s="198">
        <f t="shared" si="1"/>
        <v>39.656973551586013</v>
      </c>
      <c r="K34" s="178">
        <f t="shared" si="2"/>
        <v>1.3888888888888888</v>
      </c>
      <c r="L34" s="198">
        <f t="shared" si="3"/>
        <v>8.6668200886682215E-2</v>
      </c>
      <c r="M34" s="178">
        <f t="shared" si="4"/>
        <v>0</v>
      </c>
      <c r="N34" s="178">
        <f t="shared" si="5"/>
        <v>0</v>
      </c>
      <c r="O34" s="178">
        <f t="shared" si="6"/>
        <v>0</v>
      </c>
      <c r="P34" s="178">
        <f>J34*P5+P33</f>
        <v>2610.6500092253495</v>
      </c>
      <c r="Q34" s="198">
        <f>(L34-(N34*S5)-(M34*U5)-(O34*V5))*Q5+Q33</f>
        <v>434.30605262117928</v>
      </c>
      <c r="R34" s="178">
        <f>M34*R5+R33</f>
        <v>0</v>
      </c>
      <c r="S34" s="178">
        <f>N34*S5+S33</f>
        <v>0</v>
      </c>
      <c r="T34" s="178">
        <f>O34*T5+T33</f>
        <v>0</v>
      </c>
      <c r="U34" s="178">
        <f>M34*U5+U33</f>
        <v>0</v>
      </c>
      <c r="V34" s="178">
        <f>O34*V5+V33</f>
        <v>0</v>
      </c>
      <c r="W34" s="186">
        <f>(J34-K34-(L34-(N34*S5)-(M34*U5)-(O34*V5))*Q5+W33)</f>
        <v>2115.2328454930594</v>
      </c>
    </row>
    <row r="35" spans="1:26" ht="13.5" thickBot="1" x14ac:dyDescent="0.25">
      <c r="A35" s="185" t="s">
        <v>137</v>
      </c>
      <c r="B35" s="175">
        <v>12950</v>
      </c>
      <c r="C35" s="193">
        <f t="shared" si="0"/>
        <v>50</v>
      </c>
      <c r="D35" s="175">
        <v>22.273418511907899</v>
      </c>
      <c r="E35" s="192">
        <f>((3/12)*3)</f>
        <v>0.75</v>
      </c>
      <c r="F35" s="175">
        <v>8.82785476278514E-4</v>
      </c>
      <c r="G35" s="175">
        <v>0</v>
      </c>
      <c r="H35" s="175">
        <v>0</v>
      </c>
      <c r="I35" s="175">
        <v>0</v>
      </c>
      <c r="J35" s="198">
        <f t="shared" si="1"/>
        <v>41.196885580484349</v>
      </c>
      <c r="K35" s="178">
        <f t="shared" si="2"/>
        <v>1.3888888888888888</v>
      </c>
      <c r="L35" s="198">
        <f t="shared" si="3"/>
        <v>6.8582463747454178E-2</v>
      </c>
      <c r="M35" s="178">
        <f t="shared" si="4"/>
        <v>0</v>
      </c>
      <c r="N35" s="178">
        <f t="shared" si="5"/>
        <v>0</v>
      </c>
      <c r="O35" s="178">
        <f t="shared" si="6"/>
        <v>0</v>
      </c>
      <c r="P35" s="178">
        <f>J35*P5+P34</f>
        <v>2651.8468948058339</v>
      </c>
      <c r="Q35" s="198">
        <f>(L35-(N35*S5)-(M35*U5)-(O35*V5))*Q5+Q34</f>
        <v>434.39520982405099</v>
      </c>
      <c r="R35" s="178">
        <f>M35*R5+R34</f>
        <v>0</v>
      </c>
      <c r="S35" s="178">
        <f>N35*S5+S34</f>
        <v>0</v>
      </c>
      <c r="T35" s="178">
        <f>O35*T5+T34</f>
        <v>0</v>
      </c>
      <c r="U35" s="178">
        <f>M35*U5+U34</f>
        <v>0</v>
      </c>
      <c r="V35" s="178">
        <f>O35*V5+V34</f>
        <v>0</v>
      </c>
      <c r="W35" s="186">
        <f>(J35-K35-(L35-(N35*S5)-(M35*U5)-(O35*V5))*Q5+W34)</f>
        <v>2154.9516849817833</v>
      </c>
    </row>
    <row r="36" spans="1:26" ht="13.5" thickBot="1" x14ac:dyDescent="0.25">
      <c r="A36" s="187" t="s">
        <v>138</v>
      </c>
      <c r="B36" s="188">
        <v>13000</v>
      </c>
      <c r="C36" s="194">
        <f t="shared" si="0"/>
        <v>50</v>
      </c>
      <c r="D36" s="188">
        <v>0</v>
      </c>
      <c r="E36" s="195">
        <f>((3/12)*3)</f>
        <v>0.75</v>
      </c>
      <c r="F36" s="188">
        <v>0</v>
      </c>
      <c r="G36" s="188">
        <v>0</v>
      </c>
      <c r="H36" s="188">
        <v>0</v>
      </c>
      <c r="I36" s="188">
        <v>0</v>
      </c>
      <c r="J36" s="199">
        <f t="shared" si="1"/>
        <v>20.623535659173982</v>
      </c>
      <c r="K36" s="189">
        <f t="shared" si="2"/>
        <v>1.3888888888888888</v>
      </c>
      <c r="L36" s="199">
        <f t="shared" si="3"/>
        <v>8.1739395951714252E-4</v>
      </c>
      <c r="M36" s="189">
        <f t="shared" si="4"/>
        <v>0</v>
      </c>
      <c r="N36" s="189">
        <f t="shared" si="5"/>
        <v>0</v>
      </c>
      <c r="O36" s="189">
        <f t="shared" si="6"/>
        <v>0</v>
      </c>
      <c r="P36" s="189">
        <f>J36*P5+P35</f>
        <v>2672.4704304650081</v>
      </c>
      <c r="Q36" s="199">
        <f>(L36-(N36*S5)-(M36*U5)-(O36*V5))*Q5+Q35</f>
        <v>434.39627243619839</v>
      </c>
      <c r="R36" s="189">
        <f>M36*R5+R35</f>
        <v>0</v>
      </c>
      <c r="S36" s="189">
        <f>N36*S5+S35</f>
        <v>0</v>
      </c>
      <c r="T36" s="189">
        <f>O36*T5+T35</f>
        <v>0</v>
      </c>
      <c r="U36" s="189">
        <f>M36*U5+U35</f>
        <v>0</v>
      </c>
      <c r="V36" s="189">
        <f>O36*V5+V35</f>
        <v>0</v>
      </c>
      <c r="W36" s="190">
        <f>(J36-K36-(L36-(N36*S5)-(M36*U5)-(O36*V5))*Q5+W35)</f>
        <v>2174.1852691399208</v>
      </c>
      <c r="Y36" s="209" t="s">
        <v>36</v>
      </c>
      <c r="Z36" s="210"/>
    </row>
    <row r="37" spans="1:2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214">
        <f>SUM(J7:J36)</f>
        <v>2672.4704304650081</v>
      </c>
      <c r="K37" s="214">
        <f>SUM(K7:K36)</f>
        <v>63.888888888888893</v>
      </c>
      <c r="L37" s="214">
        <f>SUM(L7:L36)</f>
        <v>334.1509787970756</v>
      </c>
      <c r="M37" s="13"/>
      <c r="N37" s="13"/>
      <c r="O37" s="13"/>
      <c r="P37" s="13"/>
      <c r="Q37" s="13"/>
      <c r="R37" s="13"/>
      <c r="S37" s="13"/>
      <c r="T37" s="13"/>
      <c r="Y37" s="205" t="s">
        <v>37</v>
      </c>
      <c r="Z37" s="206" t="s">
        <v>154</v>
      </c>
    </row>
    <row r="38" spans="1:26" ht="13.5" thickBo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215"/>
      <c r="K38" s="215"/>
      <c r="L38" s="215"/>
      <c r="M38" s="13"/>
      <c r="N38" s="13"/>
      <c r="O38" s="13"/>
      <c r="P38" s="13"/>
      <c r="Q38" s="13"/>
      <c r="R38" s="13"/>
      <c r="S38" s="13"/>
      <c r="T38" s="13"/>
      <c r="Y38" s="205" t="s">
        <v>39</v>
      </c>
      <c r="Z38" s="206" t="s">
        <v>153</v>
      </c>
    </row>
    <row r="39" spans="1:26" ht="13.5" thickBo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74"/>
      <c r="K39" s="174"/>
      <c r="L39" s="174"/>
      <c r="M39" s="13">
        <f t="shared" ref="M39:O39" si="8">SUM(M7:M36)</f>
        <v>0</v>
      </c>
      <c r="N39" s="13">
        <f t="shared" si="8"/>
        <v>0</v>
      </c>
      <c r="O39" s="13">
        <f t="shared" si="8"/>
        <v>0</v>
      </c>
      <c r="P39" s="13"/>
      <c r="Q39" s="13"/>
      <c r="R39" s="13"/>
      <c r="S39" s="13"/>
      <c r="T39" s="13"/>
      <c r="Y39" s="207" t="s">
        <v>160</v>
      </c>
      <c r="Z39" s="208" t="s">
        <v>155</v>
      </c>
    </row>
    <row r="40" spans="1:2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Y40" s="158"/>
      <c r="Z40" s="158"/>
    </row>
    <row r="41" spans="1:2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Y41" s="158"/>
      <c r="Z41" s="158"/>
    </row>
    <row r="42" spans="1:2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Y42" s="158"/>
      <c r="Z42" s="158"/>
    </row>
    <row r="43" spans="1:2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Y43" s="158"/>
      <c r="Z43" s="158"/>
    </row>
    <row r="44" spans="1:2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Y44" s="158"/>
      <c r="Z44" s="158"/>
    </row>
    <row r="45" spans="1:2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X45" s="158"/>
      <c r="Y45" s="158"/>
      <c r="Z45" s="158"/>
    </row>
    <row r="46" spans="1:2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X46" s="158"/>
      <c r="Y46" s="158"/>
      <c r="Z46" s="158"/>
    </row>
    <row r="47" spans="1:26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X47" s="158"/>
      <c r="Y47" s="158"/>
      <c r="Z47" s="158"/>
    </row>
    <row r="48" spans="1:26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X48" s="158"/>
      <c r="Y48" s="158"/>
      <c r="Z48" s="158"/>
    </row>
    <row r="49" spans="1:24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X49" s="158"/>
    </row>
    <row r="50" spans="1:24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4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4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4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4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4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4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4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4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4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4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4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4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4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6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6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6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6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6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6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6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6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6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6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6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6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6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6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6" ht="12.75" customHeight="1" thickBo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6" ht="12.75" customHeight="1" thickBo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Y592" s="169"/>
      <c r="Z592" s="170"/>
    </row>
    <row r="593" spans="1:26" ht="12.75" customHeight="1" thickBo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X593" s="168" t="s">
        <v>36</v>
      </c>
      <c r="Y593" s="164" t="s">
        <v>38</v>
      </c>
      <c r="Z593" s="164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X594" s="168" t="s">
        <v>37</v>
      </c>
      <c r="Y594" s="165" t="s">
        <v>40</v>
      </c>
      <c r="Z594" s="165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X595" s="171" t="s">
        <v>39</v>
      </c>
      <c r="Y595" s="165" t="s">
        <v>42</v>
      </c>
      <c r="Z595" s="165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X596" s="171" t="s">
        <v>41</v>
      </c>
      <c r="Y596" s="165" t="s">
        <v>44</v>
      </c>
      <c r="Z596" s="165" t="s">
        <v>45</v>
      </c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X597" s="171" t="s">
        <v>43</v>
      </c>
      <c r="Y597" s="165" t="s">
        <v>44</v>
      </c>
      <c r="Z597" s="165" t="s">
        <v>47</v>
      </c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X598" s="171" t="s">
        <v>46</v>
      </c>
      <c r="Y598" s="166" t="s">
        <v>49</v>
      </c>
      <c r="Z598" s="166" t="s">
        <v>50</v>
      </c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X599" s="172" t="s">
        <v>48</v>
      </c>
      <c r="Y599" s="166" t="s">
        <v>52</v>
      </c>
      <c r="Z599" s="166" t="s">
        <v>53</v>
      </c>
    </row>
    <row r="600" spans="1:26" ht="38.2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X600" s="172" t="s">
        <v>51</v>
      </c>
      <c r="Y600" s="166" t="s">
        <v>55</v>
      </c>
      <c r="Z600" s="166" t="s">
        <v>56</v>
      </c>
    </row>
    <row r="601" spans="1:26" ht="38.2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2" t="s">
        <v>54</v>
      </c>
      <c r="Y601" s="166" t="s">
        <v>57</v>
      </c>
      <c r="Z601" s="166" t="s">
        <v>58</v>
      </c>
    </row>
    <row r="602" spans="1:26" ht="25.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2" t="s">
        <v>54</v>
      </c>
      <c r="Y602" s="166" t="s">
        <v>59</v>
      </c>
      <c r="Z602" s="166" t="s">
        <v>60</v>
      </c>
    </row>
    <row r="603" spans="1:26" ht="26.25" thickBo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172" t="s">
        <v>54</v>
      </c>
      <c r="Y603" s="167" t="s">
        <v>61</v>
      </c>
      <c r="Z603" s="167" t="s">
        <v>62</v>
      </c>
    </row>
    <row r="604" spans="1:26" ht="13.5" thickBo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173" t="s">
        <v>54</v>
      </c>
    </row>
    <row r="605" spans="1:26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</row>
    <row r="606" spans="1:26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</row>
    <row r="607" spans="1:26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</row>
    <row r="608" spans="1:26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</row>
    <row r="609" spans="1:20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</row>
    <row r="610" spans="1:20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</row>
    <row r="611" spans="1:20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</row>
    <row r="612" spans="1:20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</row>
    <row r="613" spans="1:20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0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0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0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0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0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0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0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0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0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0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0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</sheetData>
  <mergeCells count="7">
    <mergeCell ref="Y36:Z36"/>
    <mergeCell ref="P2:W2"/>
    <mergeCell ref="J2:L2"/>
    <mergeCell ref="D2:F2"/>
    <mergeCell ref="L37:L38"/>
    <mergeCell ref="K37:K38"/>
    <mergeCell ref="J37:J38"/>
  </mergeCells>
  <pageMargins left="0.7" right="0.7" top="0.75" bottom="0.75" header="0.3" footer="0.3"/>
  <pageSetup paperSize="17" scale="77" fitToHeight="0" orientation="landscape" r:id="rId1"/>
  <ignoredErrors>
    <ignoredError sqref="C8:C36 E10:E32 P8:W36 E33:E36 E7:E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Y33"/>
  <sheetViews>
    <sheetView showGridLines="0" zoomScaleNormal="100" workbookViewId="0">
      <selection activeCell="B1" sqref="B1:U20"/>
    </sheetView>
  </sheetViews>
  <sheetFormatPr defaultRowHeight="12.75" x14ac:dyDescent="0.2"/>
  <cols>
    <col min="1" max="1" width="9.140625" style="3"/>
    <col min="2" max="2" width="12" style="78" customWidth="1"/>
    <col min="3" max="3" width="27" style="78" customWidth="1"/>
    <col min="4" max="4" width="23.7109375" style="78" customWidth="1"/>
    <col min="5" max="6" width="16.7109375" style="78" customWidth="1"/>
    <col min="7" max="8" width="11.5703125" style="78" customWidth="1"/>
    <col min="9" max="15" width="16.7109375" style="78" hidden="1" customWidth="1"/>
    <col min="16" max="16" width="13.7109375" style="78" customWidth="1"/>
    <col min="17" max="17" width="15.140625" style="78" customWidth="1"/>
    <col min="18" max="18" width="9.7109375" style="78" customWidth="1"/>
    <col min="19" max="19" width="11.7109375" style="78" customWidth="1"/>
    <col min="20" max="20" width="12.140625" style="78" customWidth="1"/>
    <col min="21" max="21" width="19.28515625" style="78" customWidth="1"/>
    <col min="22" max="62" width="9.140625" style="51"/>
    <col min="63" max="16384" width="9.140625" style="3"/>
  </cols>
  <sheetData>
    <row r="1" spans="2:207" s="120" customFormat="1" ht="15" x14ac:dyDescent="0.2">
      <c r="B1" s="220" t="s">
        <v>147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136"/>
      <c r="W1" s="136"/>
    </row>
    <row r="2" spans="2:207" ht="13.5" thickBot="1" x14ac:dyDescent="0.25"/>
    <row r="3" spans="2:207" s="1" customFormat="1" ht="64.5" thickBot="1" x14ac:dyDescent="0.25">
      <c r="B3" s="221" t="s">
        <v>0</v>
      </c>
      <c r="C3" s="221" t="s">
        <v>1</v>
      </c>
      <c r="D3" s="221" t="s">
        <v>2</v>
      </c>
      <c r="E3" s="216" t="s">
        <v>143</v>
      </c>
      <c r="F3" s="217"/>
      <c r="G3" s="132" t="s">
        <v>148</v>
      </c>
      <c r="H3" s="132" t="s">
        <v>78</v>
      </c>
      <c r="I3" s="132" t="s">
        <v>93</v>
      </c>
      <c r="J3" s="132" t="s">
        <v>94</v>
      </c>
      <c r="K3" s="132" t="s">
        <v>95</v>
      </c>
      <c r="L3" s="132" t="s">
        <v>96</v>
      </c>
      <c r="M3" s="132" t="s">
        <v>97</v>
      </c>
      <c r="N3" s="132" t="s">
        <v>98</v>
      </c>
      <c r="O3" s="133" t="s">
        <v>99</v>
      </c>
      <c r="P3" s="132" t="s">
        <v>89</v>
      </c>
      <c r="Q3" s="54" t="s">
        <v>157</v>
      </c>
      <c r="R3" s="133" t="s">
        <v>158</v>
      </c>
      <c r="S3" s="132" t="s">
        <v>3</v>
      </c>
      <c r="T3" s="155" t="s">
        <v>151</v>
      </c>
      <c r="U3" s="221" t="s">
        <v>4</v>
      </c>
      <c r="V3" s="55"/>
      <c r="W3" s="55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</row>
    <row r="4" spans="2:207" s="1" customFormat="1" ht="15" customHeight="1" x14ac:dyDescent="0.2">
      <c r="B4" s="222"/>
      <c r="C4" s="222"/>
      <c r="D4" s="222"/>
      <c r="E4" s="224" t="s">
        <v>79</v>
      </c>
      <c r="F4" s="224" t="s">
        <v>5</v>
      </c>
      <c r="G4" s="146"/>
      <c r="H4" s="146"/>
      <c r="I4" s="71"/>
      <c r="J4" s="71"/>
      <c r="K4" s="149" t="s">
        <v>6</v>
      </c>
      <c r="L4" s="149" t="s">
        <v>6</v>
      </c>
      <c r="M4" s="58" t="s">
        <v>6</v>
      </c>
      <c r="N4" s="58" t="s">
        <v>6</v>
      </c>
      <c r="O4" s="60" t="s">
        <v>6</v>
      </c>
      <c r="P4" s="150"/>
      <c r="Q4" s="54" t="s">
        <v>6</v>
      </c>
      <c r="R4" s="151"/>
      <c r="S4" s="146"/>
      <c r="T4" s="148"/>
      <c r="U4" s="222"/>
      <c r="V4" s="55"/>
      <c r="W4" s="55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</row>
    <row r="5" spans="2:207" s="1" customFormat="1" ht="14.25" x14ac:dyDescent="0.2">
      <c r="B5" s="222"/>
      <c r="C5" s="222"/>
      <c r="D5" s="222"/>
      <c r="E5" s="225"/>
      <c r="F5" s="225"/>
      <c r="G5" s="146"/>
      <c r="H5" s="146"/>
      <c r="I5" s="71"/>
      <c r="J5" s="71"/>
      <c r="K5" s="149"/>
      <c r="L5" s="149"/>
      <c r="M5" s="58"/>
      <c r="N5" s="58"/>
      <c r="O5" s="60"/>
      <c r="P5" s="150"/>
      <c r="Q5" s="154">
        <v>1.3</v>
      </c>
      <c r="R5" s="151"/>
      <c r="S5" s="146"/>
      <c r="T5" s="148"/>
      <c r="U5" s="222"/>
      <c r="V5" s="55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</row>
    <row r="6" spans="2:207" s="2" customFormat="1" ht="13.5" thickBot="1" x14ac:dyDescent="0.25">
      <c r="B6" s="223"/>
      <c r="C6" s="223"/>
      <c r="D6" s="223"/>
      <c r="E6" s="28" t="s">
        <v>142</v>
      </c>
      <c r="F6" s="28" t="s">
        <v>142</v>
      </c>
      <c r="G6" s="145" t="s">
        <v>142</v>
      </c>
      <c r="H6" s="145" t="s">
        <v>142</v>
      </c>
      <c r="I6" s="61"/>
      <c r="J6" s="61"/>
      <c r="K6" s="28">
        <v>1</v>
      </c>
      <c r="L6" s="28">
        <v>1</v>
      </c>
      <c r="M6" s="28">
        <v>1</v>
      </c>
      <c r="N6" s="28">
        <v>1</v>
      </c>
      <c r="O6" s="27">
        <v>1</v>
      </c>
      <c r="P6" s="152" t="s">
        <v>142</v>
      </c>
      <c r="Q6" s="145" t="s">
        <v>142</v>
      </c>
      <c r="R6" s="153" t="s">
        <v>142</v>
      </c>
      <c r="S6" s="145" t="s">
        <v>142</v>
      </c>
      <c r="T6" s="147" t="s">
        <v>142</v>
      </c>
      <c r="U6" s="223"/>
      <c r="V6" s="29"/>
      <c r="W6" s="29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2:207" ht="13.5" thickBot="1" x14ac:dyDescent="0.25">
      <c r="B7" s="35" t="s">
        <v>140</v>
      </c>
      <c r="C7" s="35" t="s">
        <v>149</v>
      </c>
      <c r="D7" s="35" t="s">
        <v>139</v>
      </c>
      <c r="E7" s="42">
        <f>SUM('1080-18-00 EW Data'!J7:'1080-18-00 EW Data'!J36)</f>
        <v>2672.4704304650081</v>
      </c>
      <c r="F7" s="42">
        <f>SUM('1080-18-00 EW Data'!O7:'1080-18-00 EW Data'!O36)</f>
        <v>0</v>
      </c>
      <c r="G7" s="42">
        <f>SUM('1080-18-00 EW Data'!K7:'1080-18-00 EW Data'!K36)</f>
        <v>63.888888888888893</v>
      </c>
      <c r="H7" s="42">
        <f>(E7-G7)</f>
        <v>2608.5815415761194</v>
      </c>
      <c r="I7" s="42">
        <f>SUM('1080-18-00 EW Data'!M7:'1080-18-00 EW Data'!M36)</f>
        <v>0</v>
      </c>
      <c r="J7" s="42">
        <f>SUM('1080-18-00 EW Data'!N7:'1080-18-00 EW Data'!N36)</f>
        <v>0</v>
      </c>
      <c r="K7" s="42">
        <f>(I7*K6)</f>
        <v>0</v>
      </c>
      <c r="L7" s="42">
        <f>(F7*L6)</f>
        <v>0</v>
      </c>
      <c r="M7" s="42">
        <f>(I7*M6)</f>
        <v>0</v>
      </c>
      <c r="N7" s="42">
        <f>(F7*N6)</f>
        <v>0</v>
      </c>
      <c r="O7" s="62">
        <f>(J7*O6)</f>
        <v>0</v>
      </c>
      <c r="P7" s="42">
        <f>SUM('1080-18-00 EW Data'!L7:'1080-18-00 EW Data'!L36)</f>
        <v>334.1509787970756</v>
      </c>
      <c r="Q7" s="42">
        <f>((P7-O7-K7-L7)*Q5)</f>
        <v>434.39627243619827</v>
      </c>
      <c r="R7" s="42">
        <f>(H7-(P7-O7-K7-L7)*Q5)</f>
        <v>2174.1852691399213</v>
      </c>
      <c r="S7" s="42">
        <f>IF(R7&gt;0,R7,0)</f>
        <v>2174.1852691399213</v>
      </c>
      <c r="T7" s="42">
        <f>IF(R7&lt;0,ABS(R7),0)</f>
        <v>0</v>
      </c>
      <c r="U7" s="42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</row>
    <row r="8" spans="2:207" s="141" customFormat="1" ht="20.25" customHeight="1" thickBot="1" x14ac:dyDescent="0.25">
      <c r="B8" s="203"/>
      <c r="C8" s="227" t="s">
        <v>141</v>
      </c>
      <c r="D8" s="228"/>
      <c r="E8" s="137">
        <f t="shared" ref="E8:T8" si="0">SUM(E7:E7)</f>
        <v>2672.4704304650081</v>
      </c>
      <c r="F8" s="143">
        <f t="shared" si="0"/>
        <v>0</v>
      </c>
      <c r="G8" s="142">
        <f t="shared" si="0"/>
        <v>63.888888888888893</v>
      </c>
      <c r="H8" s="142">
        <f t="shared" si="0"/>
        <v>2608.5815415761194</v>
      </c>
      <c r="I8" s="137">
        <f t="shared" si="0"/>
        <v>0</v>
      </c>
      <c r="J8" s="137">
        <f t="shared" si="0"/>
        <v>0</v>
      </c>
      <c r="K8" s="137">
        <f t="shared" si="0"/>
        <v>0</v>
      </c>
      <c r="L8" s="137">
        <f t="shared" si="0"/>
        <v>0</v>
      </c>
      <c r="M8" s="137">
        <f t="shared" si="0"/>
        <v>0</v>
      </c>
      <c r="N8" s="137">
        <f t="shared" si="0"/>
        <v>0</v>
      </c>
      <c r="O8" s="138">
        <f t="shared" si="0"/>
        <v>0</v>
      </c>
      <c r="P8" s="142">
        <f t="shared" si="0"/>
        <v>334.1509787970756</v>
      </c>
      <c r="Q8" s="142">
        <f t="shared" si="0"/>
        <v>434.39627243619827</v>
      </c>
      <c r="R8" s="142">
        <f t="shared" si="0"/>
        <v>2174.1852691399213</v>
      </c>
      <c r="S8" s="142">
        <f t="shared" si="0"/>
        <v>2174.1852691399213</v>
      </c>
      <c r="T8" s="142">
        <f t="shared" si="0"/>
        <v>0</v>
      </c>
      <c r="U8" s="142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</row>
    <row r="9" spans="2:207" s="6" customFormat="1" ht="15.75" customHeight="1" thickBot="1" x14ac:dyDescent="0.25">
      <c r="B9" s="204"/>
      <c r="C9" s="218" t="s">
        <v>9</v>
      </c>
      <c r="D9" s="226"/>
      <c r="E9" s="201">
        <f t="shared" ref="E9:T9" si="1">SUM(E7:E7)</f>
        <v>2672.4704304650081</v>
      </c>
      <c r="F9" s="144">
        <f t="shared" si="1"/>
        <v>0</v>
      </c>
      <c r="G9" s="144">
        <f t="shared" si="1"/>
        <v>63.888888888888893</v>
      </c>
      <c r="H9" s="144">
        <f t="shared" si="1"/>
        <v>2608.5815415761194</v>
      </c>
      <c r="I9" s="144">
        <f t="shared" si="1"/>
        <v>0</v>
      </c>
      <c r="J9" s="144">
        <f t="shared" si="1"/>
        <v>0</v>
      </c>
      <c r="K9" s="144">
        <f t="shared" si="1"/>
        <v>0</v>
      </c>
      <c r="L9" s="144">
        <f t="shared" si="1"/>
        <v>0</v>
      </c>
      <c r="M9" s="144">
        <f t="shared" si="1"/>
        <v>0</v>
      </c>
      <c r="N9" s="144">
        <f t="shared" si="1"/>
        <v>0</v>
      </c>
      <c r="O9" s="144">
        <f t="shared" si="1"/>
        <v>0</v>
      </c>
      <c r="P9" s="144">
        <f t="shared" si="1"/>
        <v>334.1509787970756</v>
      </c>
      <c r="Q9" s="144">
        <f t="shared" si="1"/>
        <v>434.39627243619827</v>
      </c>
      <c r="R9" s="144">
        <f t="shared" si="1"/>
        <v>2174.1852691399213</v>
      </c>
      <c r="S9" s="144">
        <f t="shared" si="1"/>
        <v>2174.1852691399213</v>
      </c>
      <c r="T9" s="144">
        <f t="shared" si="1"/>
        <v>0</v>
      </c>
      <c r="U9" s="144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</row>
    <row r="10" spans="2:207" s="6" customFormat="1" ht="16.5" customHeight="1" thickBot="1" x14ac:dyDescent="0.25">
      <c r="B10" s="202"/>
      <c r="C10" s="218" t="s">
        <v>150</v>
      </c>
      <c r="D10" s="226"/>
      <c r="E10" s="218">
        <f>E9+F9</f>
        <v>2672.4704304650081</v>
      </c>
      <c r="F10" s="219"/>
      <c r="G10" s="40"/>
      <c r="H10" s="40"/>
      <c r="I10" s="40"/>
      <c r="J10" s="40"/>
      <c r="K10" s="40"/>
      <c r="L10" s="40"/>
      <c r="M10" s="40"/>
      <c r="N10" s="40"/>
      <c r="O10" s="46"/>
      <c r="P10" s="40"/>
      <c r="Q10" s="40"/>
      <c r="R10" s="40"/>
      <c r="S10" s="40"/>
      <c r="T10" s="40"/>
      <c r="U10" s="40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</row>
    <row r="11" spans="2:207" x14ac:dyDescent="0.2"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5"/>
      <c r="P11" s="134"/>
      <c r="Q11" s="134"/>
      <c r="R11" s="134"/>
      <c r="S11" s="134"/>
      <c r="T11" s="134"/>
      <c r="U11" s="134"/>
      <c r="V11" s="65"/>
    </row>
    <row r="12" spans="2:207" x14ac:dyDescent="0.2">
      <c r="B12" s="74"/>
      <c r="C12" s="75" t="s">
        <v>36</v>
      </c>
      <c r="D12" s="74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6"/>
      <c r="Q12" s="76"/>
      <c r="R12" s="76"/>
      <c r="S12" s="76"/>
      <c r="T12" s="76"/>
      <c r="U12" s="76"/>
    </row>
    <row r="13" spans="2:207" s="4" customFormat="1" ht="14.25" x14ac:dyDescent="0.2">
      <c r="B13" s="78"/>
      <c r="C13" s="78" t="s">
        <v>156</v>
      </c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8"/>
      <c r="U13" s="78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2:207" s="4" customFormat="1" ht="14.25" x14ac:dyDescent="0.2">
      <c r="B14" s="78"/>
      <c r="C14" s="78" t="s">
        <v>81</v>
      </c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8"/>
      <c r="U14" s="78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2:207" s="4" customFormat="1" ht="14.25" x14ac:dyDescent="0.2">
      <c r="B15" s="78"/>
      <c r="C15" s="78" t="s">
        <v>146</v>
      </c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8"/>
      <c r="U15" s="78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</row>
    <row r="16" spans="2:207" s="4" customFormat="1" ht="14.25" x14ac:dyDescent="0.2">
      <c r="B16" s="78"/>
      <c r="C16" s="78" t="s">
        <v>84</v>
      </c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8"/>
      <c r="U16" s="78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</row>
    <row r="17" spans="2:62" s="4" customFormat="1" ht="14.25" x14ac:dyDescent="0.2">
      <c r="B17" s="78"/>
      <c r="C17" s="78" t="s">
        <v>145</v>
      </c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8"/>
      <c r="U17" s="78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</row>
    <row r="18" spans="2:62" s="4" customFormat="1" ht="14.25" x14ac:dyDescent="0.2">
      <c r="B18" s="78"/>
      <c r="C18" s="78" t="str">
        <f>"(6) Expanded Fill Factor = "&amp;Q5</f>
        <v>(6) Expanded Fill Factor = 1.3</v>
      </c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8"/>
      <c r="U18" s="78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</row>
    <row r="19" spans="2:62" s="4" customFormat="1" ht="14.25" x14ac:dyDescent="0.2">
      <c r="B19" s="78"/>
      <c r="C19" s="82" t="s">
        <v>144</v>
      </c>
      <c r="D19" s="78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8"/>
      <c r="U19" s="78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</row>
    <row r="20" spans="2:62" s="4" customFormat="1" ht="14.25" x14ac:dyDescent="0.2">
      <c r="B20" s="78"/>
      <c r="C20" s="78" t="s">
        <v>159</v>
      </c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8"/>
      <c r="U20" s="78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</row>
    <row r="21" spans="2:62" s="4" customFormat="1" ht="14.25" x14ac:dyDescent="0.2">
      <c r="B21" s="78"/>
      <c r="C21" s="78"/>
      <c r="D21" s="80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8"/>
      <c r="U21" s="78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</row>
    <row r="22" spans="2:62" s="4" customFormat="1" ht="14.25" x14ac:dyDescent="0.2">
      <c r="B22" s="78"/>
      <c r="C22" s="118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8"/>
      <c r="U22" s="78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</row>
    <row r="23" spans="2:62" ht="15" x14ac:dyDescent="0.25">
      <c r="B23" s="117"/>
      <c r="C23" s="11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spans="2:62" ht="15" x14ac:dyDescent="0.25">
      <c r="B24" s="117"/>
      <c r="C24" s="11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2:62" ht="15" x14ac:dyDescent="0.25">
      <c r="B25" s="117"/>
      <c r="C25" s="11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2:62" ht="15" x14ac:dyDescent="0.25">
      <c r="B26" s="117"/>
      <c r="C26" s="11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2:62" ht="15" x14ac:dyDescent="0.25">
      <c r="B27" s="117"/>
      <c r="C27" s="119"/>
    </row>
    <row r="33" spans="3:3" x14ac:dyDescent="0.2">
      <c r="C33" s="80"/>
    </row>
  </sheetData>
  <mergeCells count="12">
    <mergeCell ref="E3:F3"/>
    <mergeCell ref="E10:F10"/>
    <mergeCell ref="B1:U1"/>
    <mergeCell ref="D3:D6"/>
    <mergeCell ref="C3:C6"/>
    <mergeCell ref="B3:B6"/>
    <mergeCell ref="U3:U6"/>
    <mergeCell ref="F4:F5"/>
    <mergeCell ref="E4:E5"/>
    <mergeCell ref="C10:D10"/>
    <mergeCell ref="C9:D9"/>
    <mergeCell ref="C8:D8"/>
  </mergeCells>
  <pageMargins left="0.7" right="0.7" top="0.75" bottom="0.75" header="0.3" footer="0.3"/>
  <pageSetup paperSize="17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0"/>
      <c r="Y10" s="120"/>
      <c r="Z10" s="120"/>
      <c r="AA10" s="120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22" t="s">
        <v>36</v>
      </c>
      <c r="Y11" s="123"/>
      <c r="Z11" s="124"/>
      <c r="AA11" s="120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22" t="s">
        <v>37</v>
      </c>
      <c r="Y12" s="125" t="s">
        <v>38</v>
      </c>
      <c r="Z12" s="125"/>
      <c r="AA12" s="1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126" t="s">
        <v>39</v>
      </c>
      <c r="Y13" s="127" t="s">
        <v>40</v>
      </c>
      <c r="Z13" s="127"/>
      <c r="AA13" s="120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126" t="s">
        <v>41</v>
      </c>
      <c r="Y14" s="127" t="s">
        <v>42</v>
      </c>
      <c r="Z14" s="127"/>
      <c r="AA14" s="120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126" t="s">
        <v>43</v>
      </c>
      <c r="Y15" s="127" t="s">
        <v>44</v>
      </c>
      <c r="Z15" s="127" t="s">
        <v>45</v>
      </c>
      <c r="AA15" s="120"/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126" t="s">
        <v>46</v>
      </c>
      <c r="Y16" s="127" t="s">
        <v>44</v>
      </c>
      <c r="Z16" s="127" t="s">
        <v>47</v>
      </c>
      <c r="AA16" s="120"/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128" t="s">
        <v>48</v>
      </c>
      <c r="Y17" s="129" t="s">
        <v>49</v>
      </c>
      <c r="Z17" s="129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128" t="s">
        <v>51</v>
      </c>
      <c r="Y18" s="129" t="s">
        <v>52</v>
      </c>
      <c r="Z18" s="129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128" t="s">
        <v>54</v>
      </c>
      <c r="Y19" s="129" t="s">
        <v>105</v>
      </c>
      <c r="Z19" s="129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128" t="s">
        <v>54</v>
      </c>
      <c r="Y20" s="129" t="s">
        <v>106</v>
      </c>
      <c r="Z20" s="129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128" t="s">
        <v>54</v>
      </c>
      <c r="Y21" s="129" t="s">
        <v>107</v>
      </c>
      <c r="Z21" s="129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130" t="s">
        <v>54</v>
      </c>
      <c r="Y22" s="131" t="s">
        <v>108</v>
      </c>
      <c r="Z22" s="131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21"/>
      <c r="Y23" s="121"/>
      <c r="Z23" s="121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50"/>
  <sheetViews>
    <sheetView workbookViewId="0"/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216" t="s">
        <v>92</v>
      </c>
      <c r="E1" s="217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229" t="s">
        <v>10</v>
      </c>
      <c r="C17" s="229"/>
      <c r="D17" s="230">
        <f>D16+E16</f>
        <v>0</v>
      </c>
      <c r="E17" s="231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1080-18-00 EW Data</vt:lpstr>
      <vt:lpstr>1080-18-00 EW Summary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Tyler Beinlich</cp:lastModifiedBy>
  <cp:lastPrinted>2018-11-27T20:11:07Z</cp:lastPrinted>
  <dcterms:created xsi:type="dcterms:W3CDTF">2008-01-23T19:03:58Z</dcterms:created>
  <dcterms:modified xsi:type="dcterms:W3CDTF">2018-12-04T19:51:25Z</dcterms:modified>
</cp:coreProperties>
</file>