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P:\WIDOT\17025 - STH 22 Resurface\Quantities\PSE MQs_5.1.2019\"/>
    </mc:Choice>
  </mc:AlternateContent>
  <xr:revisionPtr revIDLastSave="0" documentId="13_ncr:1_{3511073E-8CDC-4DFE-B5DB-308AC80A08A0}" xr6:coauthVersionLast="43" xr6:coauthVersionMax="43" xr10:uidLastSave="{00000000-0000-0000-0000-000000000000}"/>
  <bookViews>
    <workbookView xWindow="28680" yWindow="-120" windowWidth="29040" windowHeight="15840" xr2:uid="{00000000-000D-0000-FFFF-FFFF00000000}"/>
  </bookViews>
  <sheets>
    <sheet name="PSE Estimate" sheetId="32" r:id="rId1"/>
    <sheet name="Category NOTE" sheetId="1" r:id="rId2"/>
    <sheet name="204.0110" sheetId="46" r:id="rId3"/>
    <sheet name="204.0115" sheetId="31" r:id="rId4"/>
    <sheet name="204.0120" sheetId="5" r:id="rId5"/>
    <sheet name="204.9060.S" sheetId="2" r:id="rId6"/>
    <sheet name="211.0100" sheetId="8" r:id="rId7"/>
    <sheet name="213.0100" sheetId="33" r:id="rId8"/>
    <sheet name="BASE AGG" sheetId="9" r:id="rId9"/>
    <sheet name="305.0500(NO LONGER NEEDED)" sheetId="10" r:id="rId10"/>
    <sheet name="ASPHALT ITEMS" sheetId="12" r:id="rId11"/>
    <sheet name="440.4410(NO LONGER NEEDED)" sheetId="35" r:id="rId12"/>
    <sheet name="465.0120(NO LONGER NEEDED)" sheetId="44" r:id="rId13"/>
    <sheet name="RUMBLE STRIPS" sheetId="13" r:id="rId14"/>
    <sheet name="Culvert Pipe" sheetId="14" r:id="rId15"/>
    <sheet name="GUARDRAIL" sheetId="16" r:id="rId16"/>
    <sheet name="618.0100" sheetId="37" r:id="rId17"/>
    <sheet name="619.1000" sheetId="34" r:id="rId18"/>
    <sheet name="624.0100" sheetId="45" r:id="rId19"/>
    <sheet name="RESTORATION" sheetId="36" r:id="rId20"/>
    <sheet name="EROSION CONTROL" sheetId="17" r:id="rId21"/>
    <sheet name="628.1910" sheetId="19" r:id="rId22"/>
    <sheet name="633.5200" sheetId="20" r:id="rId23"/>
    <sheet name="Signing " sheetId="21" r:id="rId24"/>
    <sheet name="642.5001" sheetId="38" r:id="rId25"/>
    <sheet name="643_TC" sheetId="43" r:id="rId26"/>
    <sheet name="643.0310.S" sheetId="42" r:id="rId27"/>
    <sheet name="643.5000" sheetId="39" r:id="rId28"/>
    <sheet name="646.0106_PM" sheetId="23" r:id="rId29"/>
    <sheet name="648.0100" sheetId="41" r:id="rId30"/>
    <sheet name="STAKING" sheetId="24" r:id="rId31"/>
    <sheet name="690.0150" sheetId="25" r:id="rId32"/>
    <sheet name="SPV.0060.01" sheetId="40" r:id="rId33"/>
    <sheet name="Sheet1" sheetId="30" r:id="rId34"/>
  </sheets>
  <externalReferences>
    <externalReference r:id="rId35"/>
    <externalReference r:id="rId36"/>
  </externalReferences>
  <definedNames>
    <definedName name="\a" localSheetId="7">#REF!</definedName>
    <definedName name="\a" localSheetId="11">#REF!</definedName>
    <definedName name="\a" localSheetId="12">#REF!</definedName>
    <definedName name="\a" localSheetId="16">#REF!</definedName>
    <definedName name="\a" localSheetId="17">#REF!</definedName>
    <definedName name="\a" localSheetId="24">#REF!</definedName>
    <definedName name="\a" localSheetId="26">#REF!</definedName>
    <definedName name="\a" localSheetId="27">#REF!</definedName>
    <definedName name="\a" localSheetId="29">#REF!</definedName>
    <definedName name="\a" localSheetId="19">#REF!</definedName>
    <definedName name="\a" localSheetId="32">#REF!</definedName>
    <definedName name="\a">#REF!</definedName>
    <definedName name="\h" localSheetId="7">#REF!</definedName>
    <definedName name="\h" localSheetId="11">#REF!</definedName>
    <definedName name="\h" localSheetId="12">#REF!</definedName>
    <definedName name="\h" localSheetId="16">#REF!</definedName>
    <definedName name="\h" localSheetId="17">#REF!</definedName>
    <definedName name="\h" localSheetId="24">#REF!</definedName>
    <definedName name="\h" localSheetId="26">#REF!</definedName>
    <definedName name="\h" localSheetId="27">#REF!</definedName>
    <definedName name="\h" localSheetId="29">#REF!</definedName>
    <definedName name="\h" localSheetId="19">#REF!</definedName>
    <definedName name="\h" localSheetId="32">#REF!</definedName>
    <definedName name="\h">#REF!</definedName>
    <definedName name="\p" localSheetId="7">#REF!</definedName>
    <definedName name="\p" localSheetId="11">#REF!</definedName>
    <definedName name="\p" localSheetId="12">#REF!</definedName>
    <definedName name="\p" localSheetId="16">#REF!</definedName>
    <definedName name="\p" localSheetId="17">#REF!</definedName>
    <definedName name="\p" localSheetId="24">#REF!</definedName>
    <definedName name="\p" localSheetId="26">#REF!</definedName>
    <definedName name="\p" localSheetId="27">#REF!</definedName>
    <definedName name="\p" localSheetId="29">#REF!</definedName>
    <definedName name="\p" localSheetId="19">#REF!</definedName>
    <definedName name="\p" localSheetId="32">#REF!</definedName>
    <definedName name="\p">#REF!</definedName>
    <definedName name="\s" localSheetId="7">#REF!</definedName>
    <definedName name="\s" localSheetId="11">#REF!</definedName>
    <definedName name="\s" localSheetId="12">#REF!</definedName>
    <definedName name="\s" localSheetId="16">#REF!</definedName>
    <definedName name="\s" localSheetId="17">#REF!</definedName>
    <definedName name="\s" localSheetId="24">#REF!</definedName>
    <definedName name="\s" localSheetId="26">#REF!</definedName>
    <definedName name="\s" localSheetId="27">#REF!</definedName>
    <definedName name="\s" localSheetId="29">#REF!</definedName>
    <definedName name="\s" localSheetId="19">#REF!</definedName>
    <definedName name="\s" localSheetId="32">#REF!</definedName>
    <definedName name="\s">#REF!</definedName>
    <definedName name="ALTS" localSheetId="7">#REF!</definedName>
    <definedName name="ALTS" localSheetId="11">#REF!</definedName>
    <definedName name="ALTS" localSheetId="12">#REF!</definedName>
    <definedName name="ALTS" localSheetId="16">#REF!</definedName>
    <definedName name="ALTS" localSheetId="17">#REF!</definedName>
    <definedName name="ALTS" localSheetId="24">#REF!</definedName>
    <definedName name="ALTS" localSheetId="26">#REF!</definedName>
    <definedName name="ALTS" localSheetId="27">#REF!</definedName>
    <definedName name="ALTS" localSheetId="29">#REF!</definedName>
    <definedName name="ALTS" localSheetId="19">#REF!</definedName>
    <definedName name="ALTS" localSheetId="32">#REF!</definedName>
    <definedName name="ALTS">#REF!</definedName>
    <definedName name="AREAS" localSheetId="7">#REF!</definedName>
    <definedName name="AREAS" localSheetId="11">#REF!</definedName>
    <definedName name="AREAS" localSheetId="12">#REF!</definedName>
    <definedName name="AREAS" localSheetId="16">#REF!</definedName>
    <definedName name="AREAS" localSheetId="17">#REF!</definedName>
    <definedName name="AREAS" localSheetId="24">#REF!</definedName>
    <definedName name="AREAS" localSheetId="26">#REF!</definedName>
    <definedName name="AREAS" localSheetId="27">#REF!</definedName>
    <definedName name="AREAS" localSheetId="29">#REF!</definedName>
    <definedName name="AREAS" localSheetId="19">#REF!</definedName>
    <definedName name="AREAS" localSheetId="32">#REF!</definedName>
    <definedName name="AREAS">#REF!</definedName>
    <definedName name="BAD_FORESLOPE" localSheetId="7">#REF!</definedName>
    <definedName name="BAD_FORESLOPE" localSheetId="11">#REF!</definedName>
    <definedName name="BAD_FORESLOPE" localSheetId="12">#REF!</definedName>
    <definedName name="BAD_FORESLOPE" localSheetId="16">#REF!</definedName>
    <definedName name="BAD_FORESLOPE" localSheetId="17">#REF!</definedName>
    <definedName name="BAD_FORESLOPE" localSheetId="24">#REF!</definedName>
    <definedName name="BAD_FORESLOPE" localSheetId="26">#REF!</definedName>
    <definedName name="BAD_FORESLOPE" localSheetId="27">#REF!</definedName>
    <definedName name="BAD_FORESLOPE" localSheetId="29">#REF!</definedName>
    <definedName name="BAD_FORESLOPE" localSheetId="19">#REF!</definedName>
    <definedName name="BAD_FORESLOPE" localSheetId="32">#REF!</definedName>
    <definedName name="BAD_FORESLOPE">#REF!</definedName>
    <definedName name="BAD_PAVT" localSheetId="7">#REF!</definedName>
    <definedName name="BAD_PAVT" localSheetId="11">#REF!</definedName>
    <definedName name="BAD_PAVT" localSheetId="12">#REF!</definedName>
    <definedName name="BAD_PAVT" localSheetId="16">#REF!</definedName>
    <definedName name="BAD_PAVT" localSheetId="17">#REF!</definedName>
    <definedName name="BAD_PAVT" localSheetId="24">#REF!</definedName>
    <definedName name="BAD_PAVT" localSheetId="26">#REF!</definedName>
    <definedName name="BAD_PAVT" localSheetId="27">#REF!</definedName>
    <definedName name="BAD_PAVT" localSheetId="29">#REF!</definedName>
    <definedName name="BAD_PAVT" localSheetId="19">#REF!</definedName>
    <definedName name="BAD_PAVT" localSheetId="32">#REF!</definedName>
    <definedName name="BAD_PAVT">#REF!</definedName>
    <definedName name="Bar_Weight_Table" localSheetId="7">#REF!</definedName>
    <definedName name="Bar_Weight_Table" localSheetId="11">#REF!</definedName>
    <definedName name="Bar_Weight_Table" localSheetId="12">#REF!</definedName>
    <definedName name="Bar_Weight_Table" localSheetId="16">#REF!</definedName>
    <definedName name="Bar_Weight_Table" localSheetId="17">#REF!</definedName>
    <definedName name="Bar_Weight_Table" localSheetId="24">#REF!</definedName>
    <definedName name="Bar_Weight_Table" localSheetId="26">#REF!</definedName>
    <definedName name="Bar_Weight_Table" localSheetId="27">#REF!</definedName>
    <definedName name="Bar_Weight_Table" localSheetId="29">#REF!</definedName>
    <definedName name="Bar_Weight_Table" localSheetId="19">#REF!</definedName>
    <definedName name="Bar_Weight_Table" localSheetId="32">#REF!</definedName>
    <definedName name="Bar_Weight_Table">#REF!</definedName>
    <definedName name="BIDITEM">'[1]Bid Items 2011'!$A$3:$C$1850</definedName>
    <definedName name="DEPTH" localSheetId="7">#REF!</definedName>
    <definedName name="DEPTH" localSheetId="11">#REF!</definedName>
    <definedName name="DEPTH" localSheetId="12">#REF!</definedName>
    <definedName name="DEPTH" localSheetId="16">#REF!</definedName>
    <definedName name="DEPTH" localSheetId="17">#REF!</definedName>
    <definedName name="DEPTH" localSheetId="24">#REF!</definedName>
    <definedName name="DEPTH" localSheetId="26">#REF!</definedName>
    <definedName name="DEPTH" localSheetId="27">#REF!</definedName>
    <definedName name="DEPTH" localSheetId="29">#REF!</definedName>
    <definedName name="DEPTH" localSheetId="19">#REF!</definedName>
    <definedName name="DEPTH" localSheetId="32">#REF!</definedName>
    <definedName name="DEPTH">#REF!</definedName>
    <definedName name="HELP" localSheetId="7">#REF!</definedName>
    <definedName name="HELP" localSheetId="11">#REF!</definedName>
    <definedName name="HELP" localSheetId="12">#REF!</definedName>
    <definedName name="HELP" localSheetId="16">#REF!</definedName>
    <definedName name="HELP" localSheetId="17">#REF!</definedName>
    <definedName name="HELP" localSheetId="24">#REF!</definedName>
    <definedName name="HELP" localSheetId="26">#REF!</definedName>
    <definedName name="HELP" localSheetId="27">#REF!</definedName>
    <definedName name="HELP" localSheetId="29">#REF!</definedName>
    <definedName name="HELP" localSheetId="19">#REF!</definedName>
    <definedName name="HELP" localSheetId="32">#REF!</definedName>
    <definedName name="HELP">#REF!</definedName>
    <definedName name="itemname" localSheetId="7">#REF!</definedName>
    <definedName name="itemname" localSheetId="16">#REF!</definedName>
    <definedName name="itemname" localSheetId="17">#REF!</definedName>
    <definedName name="itemname" localSheetId="24">#REF!</definedName>
    <definedName name="itemname" localSheetId="26">#REF!</definedName>
    <definedName name="itemname" localSheetId="27">#REF!</definedName>
    <definedName name="itemname" localSheetId="25">#REF!</definedName>
    <definedName name="itemname" localSheetId="0">#REF!</definedName>
    <definedName name="itemname">'[2]Rounding Rules'!$B$2:$B$34</definedName>
    <definedName name="_xlnm.Print_Area" localSheetId="0">'PSE Estimate'!$A$2:$M$78</definedName>
    <definedName name="Print_Area_MI" localSheetId="7">#REF!</definedName>
    <definedName name="Print_Area_MI" localSheetId="11">#REF!</definedName>
    <definedName name="Print_Area_MI" localSheetId="12">#REF!</definedName>
    <definedName name="Print_Area_MI" localSheetId="16">#REF!</definedName>
    <definedName name="Print_Area_MI" localSheetId="17">#REF!</definedName>
    <definedName name="Print_Area_MI" localSheetId="24">#REF!</definedName>
    <definedName name="Print_Area_MI" localSheetId="26">#REF!</definedName>
    <definedName name="Print_Area_MI" localSheetId="27">#REF!</definedName>
    <definedName name="Print_Area_MI" localSheetId="29">#REF!</definedName>
    <definedName name="Print_Area_MI" localSheetId="19">#REF!</definedName>
    <definedName name="Print_Area_MI" localSheetId="32">#REF!</definedName>
    <definedName name="Print_Area_MI">#REF!</definedName>
    <definedName name="_xlnm.Print_Titles" localSheetId="0">'PSE Estimate'!$A:$M,'PSE Estimate'!$1:$8</definedName>
    <definedName name="table" localSheetId="7">#REF!</definedName>
    <definedName name="table" localSheetId="11">#REF!</definedName>
    <definedName name="table" localSheetId="12">#REF!</definedName>
    <definedName name="table" localSheetId="16">#REF!</definedName>
    <definedName name="table" localSheetId="17">#REF!</definedName>
    <definedName name="table" localSheetId="24">#REF!</definedName>
    <definedName name="table" localSheetId="26">#REF!</definedName>
    <definedName name="table" localSheetId="27">#REF!</definedName>
    <definedName name="table" localSheetId="29">#REF!</definedName>
    <definedName name="table" localSheetId="19">#REF!</definedName>
    <definedName name="table" localSheetId="32">#REF!</definedName>
    <definedName name="table">#REF!</definedName>
    <definedName name="test" localSheetId="12">#REF!</definedName>
    <definedName name="test" localSheetId="16">#REF!</definedName>
    <definedName name="test" localSheetId="17">#REF!</definedName>
    <definedName name="test" localSheetId="24">#REF!</definedName>
    <definedName name="test" localSheetId="26">#REF!</definedName>
    <definedName name="test" localSheetId="27">#REF!</definedName>
    <definedName name="test" localSheetId="29">#REF!</definedName>
    <definedName name="test" localSheetId="19">#REF!</definedName>
    <definedName name="test" localSheetId="32">#REF!</definedName>
    <definedName name="test">#REF!</definedName>
    <definedName name="tttt" localSheetId="12">#REF!</definedName>
    <definedName name="tttt" localSheetId="16">#REF!</definedName>
    <definedName name="tttt" localSheetId="17">#REF!</definedName>
    <definedName name="tttt" localSheetId="24">#REF!</definedName>
    <definedName name="tttt" localSheetId="26">#REF!</definedName>
    <definedName name="tttt" localSheetId="27">#REF!</definedName>
    <definedName name="tttt" localSheetId="29">#REF!</definedName>
    <definedName name="tttt" localSheetId="19">#REF!</definedName>
    <definedName name="tttt" localSheetId="32">#REF!</definedName>
    <definedName name="tttt">#REF!</definedName>
    <definedName name="unitselection" localSheetId="7">#REF!</definedName>
    <definedName name="unitselection" localSheetId="11">#REF!</definedName>
    <definedName name="unitselection" localSheetId="12">#REF!</definedName>
    <definedName name="unitselection" localSheetId="16">#REF!</definedName>
    <definedName name="unitselection" localSheetId="17">#REF!</definedName>
    <definedName name="unitselection" localSheetId="24">#REF!</definedName>
    <definedName name="unitselection" localSheetId="26">#REF!</definedName>
    <definedName name="unitselection" localSheetId="27">#REF!</definedName>
    <definedName name="unitselection" localSheetId="29">#REF!</definedName>
    <definedName name="unitselection" localSheetId="19">#REF!</definedName>
    <definedName name="unitselection" localSheetId="32">#REF!</definedName>
    <definedName name="unitselection">#REF!</definedName>
    <definedName name="UnitsToSelect" localSheetId="7">#REF!</definedName>
    <definedName name="UnitsToSelect" localSheetId="16">#REF!</definedName>
    <definedName name="UnitsToSelect" localSheetId="17">#REF!</definedName>
    <definedName name="UnitsToSelect" localSheetId="24">#REF!</definedName>
    <definedName name="UnitsToSelect" localSheetId="26">#REF!</definedName>
    <definedName name="UnitsToSelect" localSheetId="27">#REF!</definedName>
    <definedName name="UnitsToSelect" localSheetId="25">#REF!</definedName>
    <definedName name="UnitsToSelect" localSheetId="0">#REF!</definedName>
    <definedName name="UnitsToSelect">[2]Sheet1!$K$1:$K$16</definedName>
    <definedName name="xx" localSheetId="7">#REF!</definedName>
    <definedName name="xx" localSheetId="11">#REF!</definedName>
    <definedName name="xx" localSheetId="12">#REF!</definedName>
    <definedName name="xx" localSheetId="16">#REF!</definedName>
    <definedName name="xx" localSheetId="17">#REF!</definedName>
    <definedName name="xx" localSheetId="24">#REF!</definedName>
    <definedName name="xx" localSheetId="26">#REF!</definedName>
    <definedName name="xx" localSheetId="27">#REF!</definedName>
    <definedName name="xx" localSheetId="29">#REF!</definedName>
    <definedName name="xx" localSheetId="19">#REF!</definedName>
    <definedName name="xx" localSheetId="32">#REF!</definedName>
    <definedName name="xx">#REF!</definedName>
    <definedName name="xxxx" localSheetId="12">#REF!</definedName>
    <definedName name="xxxx" localSheetId="16">#REF!</definedName>
    <definedName name="xxxx" localSheetId="17">#REF!</definedName>
    <definedName name="xxxx" localSheetId="24">#REF!</definedName>
    <definedName name="xxxx" localSheetId="26">#REF!</definedName>
    <definedName name="xxxx" localSheetId="27">#REF!</definedName>
    <definedName name="xxxx" localSheetId="29">#REF!</definedName>
    <definedName name="xxxx" localSheetId="19">#REF!</definedName>
    <definedName name="xxxx" localSheetId="32">#REF!</definedName>
    <definedName name="xx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9" i="32" l="1"/>
  <c r="G14" i="36"/>
  <c r="H67" i="32"/>
  <c r="I10" i="32" l="1"/>
  <c r="I12" i="32"/>
  <c r="I13" i="32"/>
  <c r="I14" i="32"/>
  <c r="I15" i="32"/>
  <c r="I16" i="32"/>
  <c r="I17" i="32"/>
  <c r="I19" i="32"/>
  <c r="I20" i="32"/>
  <c r="I21" i="32"/>
  <c r="I22" i="32"/>
  <c r="I23" i="32"/>
  <c r="I24" i="32"/>
  <c r="I25" i="32"/>
  <c r="I26" i="32"/>
  <c r="I27" i="32"/>
  <c r="I28" i="32"/>
  <c r="I29" i="32"/>
  <c r="I30" i="32"/>
  <c r="I31" i="32"/>
  <c r="I32" i="32"/>
  <c r="I33" i="32"/>
  <c r="I34" i="32"/>
  <c r="I35" i="32"/>
  <c r="I36" i="32"/>
  <c r="I37" i="32"/>
  <c r="I38" i="32"/>
  <c r="I40" i="32"/>
  <c r="I41" i="32"/>
  <c r="I42" i="32"/>
  <c r="I43" i="32"/>
  <c r="I44" i="32"/>
  <c r="I45" i="32"/>
  <c r="I46" i="32"/>
  <c r="I47" i="32"/>
  <c r="I48" i="32"/>
  <c r="I49" i="32"/>
  <c r="I50" i="32"/>
  <c r="I51" i="32"/>
  <c r="I52" i="32"/>
  <c r="I53" i="32"/>
  <c r="I54" i="32"/>
  <c r="I55" i="32"/>
  <c r="I56" i="32"/>
  <c r="I57" i="32"/>
  <c r="I58" i="32"/>
  <c r="I59" i="32"/>
  <c r="I60" i="32"/>
  <c r="I61" i="32"/>
  <c r="I62" i="32"/>
  <c r="I63" i="32"/>
  <c r="I9" i="32"/>
  <c r="C10" i="32" l="1"/>
  <c r="C55" i="32" l="1"/>
  <c r="C59" i="32"/>
  <c r="C30" i="32"/>
  <c r="C29" i="32"/>
  <c r="C28" i="32"/>
  <c r="C16" i="32"/>
  <c r="C60" i="32"/>
  <c r="F5" i="46" l="1"/>
  <c r="B7" i="25" l="1"/>
  <c r="C9" i="32"/>
  <c r="G9" i="32" s="1"/>
  <c r="C7" i="46"/>
  <c r="C41" i="32" l="1"/>
  <c r="E12" i="21"/>
  <c r="C54" i="32"/>
  <c r="G54" i="32" s="1"/>
  <c r="H13" i="23"/>
  <c r="G28" i="32"/>
  <c r="C19" i="32"/>
  <c r="G19" i="32" s="1"/>
  <c r="B9" i="45" l="1"/>
  <c r="B9" i="25" l="1"/>
  <c r="G15" i="23"/>
  <c r="L30" i="25"/>
  <c r="D7" i="41"/>
  <c r="H42" i="12" l="1"/>
  <c r="B11" i="45"/>
  <c r="U26" i="9" l="1"/>
  <c r="V26" i="9" s="1"/>
  <c r="W26" i="9" s="1"/>
  <c r="S25" i="9"/>
  <c r="U25" i="9"/>
  <c r="V25" i="9" s="1"/>
  <c r="D20" i="9"/>
  <c r="G12" i="44" l="1"/>
  <c r="C10" i="44" s="1"/>
  <c r="G62" i="32"/>
  <c r="G63" i="32"/>
  <c r="C61" i="32"/>
  <c r="G61" i="32" s="1"/>
  <c r="C12" i="44" l="1"/>
  <c r="C10" i="13"/>
  <c r="C61" i="13"/>
  <c r="D13" i="9"/>
  <c r="D8" i="5"/>
  <c r="H14" i="17" l="1"/>
  <c r="G14" i="17"/>
  <c r="F14" i="17"/>
  <c r="E14" i="17"/>
  <c r="D14" i="17"/>
  <c r="B9" i="37"/>
  <c r="F13" i="12"/>
  <c r="C18" i="31" l="1"/>
  <c r="F11" i="43" l="1"/>
  <c r="I11" i="43"/>
  <c r="M11" i="43"/>
  <c r="W25" i="9" l="1"/>
  <c r="S22" i="9"/>
  <c r="S16" i="9"/>
  <c r="O11" i="43" l="1"/>
  <c r="N14" i="43"/>
  <c r="D16" i="5" l="1"/>
  <c r="D19" i="5"/>
  <c r="D18" i="5"/>
  <c r="D17" i="5"/>
  <c r="D15" i="5"/>
  <c r="D14" i="5"/>
  <c r="D13" i="5"/>
  <c r="D7" i="5"/>
  <c r="R19" i="5"/>
  <c r="L21" i="5"/>
  <c r="L23" i="5" s="1"/>
  <c r="K26" i="23"/>
  <c r="K42" i="23"/>
  <c r="L42" i="23" s="1"/>
  <c r="L43" i="23"/>
  <c r="L46" i="23"/>
  <c r="L48" i="23"/>
  <c r="L50" i="23"/>
  <c r="L51" i="23"/>
  <c r="L54" i="23"/>
  <c r="K37" i="23"/>
  <c r="L37" i="23" s="1"/>
  <c r="K38" i="23"/>
  <c r="L38" i="23" s="1"/>
  <c r="K39" i="23"/>
  <c r="L39" i="23" s="1"/>
  <c r="K40" i="23"/>
  <c r="L40" i="23" s="1"/>
  <c r="K41" i="23"/>
  <c r="L41" i="23" s="1"/>
  <c r="K44" i="23"/>
  <c r="L44" i="23" s="1"/>
  <c r="K45" i="23"/>
  <c r="L45" i="23" s="1"/>
  <c r="K47" i="23"/>
  <c r="L47" i="23" s="1"/>
  <c r="K49" i="23"/>
  <c r="L49" i="23" s="1"/>
  <c r="K52" i="23"/>
  <c r="L52" i="23" s="1"/>
  <c r="K53" i="23"/>
  <c r="L53" i="23" s="1"/>
  <c r="K36" i="23"/>
  <c r="L36" i="23" s="1"/>
  <c r="L35" i="23"/>
  <c r="D21" i="5" l="1"/>
  <c r="C11" i="32" s="1"/>
  <c r="L55" i="23"/>
  <c r="C49" i="32"/>
  <c r="L31" i="23"/>
  <c r="K31" i="23"/>
  <c r="D12" i="36"/>
  <c r="D14" i="36" s="1"/>
  <c r="C11" i="16"/>
  <c r="C13" i="16" s="1"/>
  <c r="C10" i="16"/>
  <c r="E10" i="16"/>
  <c r="E11" i="16"/>
  <c r="E13" i="16" s="1"/>
  <c r="F13" i="16"/>
  <c r="D13" i="16"/>
  <c r="A32" i="13"/>
  <c r="A33" i="13" s="1"/>
  <c r="A38" i="13"/>
  <c r="A39" i="13" s="1"/>
  <c r="A26" i="13"/>
  <c r="A27" i="13" s="1"/>
  <c r="B41" i="13" l="1"/>
  <c r="D9" i="35"/>
  <c r="A32" i="35"/>
  <c r="A33" i="35" s="1"/>
  <c r="D10" i="35" s="1"/>
  <c r="D12" i="35" s="1"/>
  <c r="A24" i="35"/>
  <c r="C20" i="32" l="1"/>
  <c r="A25" i="35"/>
  <c r="D40" i="12"/>
  <c r="D42" i="12" s="1"/>
  <c r="F77" i="5"/>
  <c r="G77" i="5" s="1"/>
  <c r="F72" i="5"/>
  <c r="G72" i="5" s="1"/>
  <c r="F73" i="5"/>
  <c r="G73" i="5" s="1"/>
  <c r="F74" i="5"/>
  <c r="G74" i="5" s="1"/>
  <c r="F75" i="5"/>
  <c r="G75" i="5" s="1"/>
  <c r="F76" i="5"/>
  <c r="G76" i="5" s="1"/>
  <c r="F71" i="5"/>
  <c r="G71" i="5" s="1"/>
  <c r="F69" i="5"/>
  <c r="G69" i="5" s="1"/>
  <c r="F65" i="5"/>
  <c r="G65" i="5" s="1"/>
  <c r="F63" i="5"/>
  <c r="G63" i="5" s="1"/>
  <c r="F61" i="5"/>
  <c r="G61" i="5" s="1"/>
  <c r="F59" i="5"/>
  <c r="G59" i="5" s="1"/>
  <c r="F58" i="5"/>
  <c r="G58" i="5" s="1"/>
  <c r="F60" i="5"/>
  <c r="G60" i="5" s="1"/>
  <c r="F62" i="5"/>
  <c r="G62" i="5" s="1"/>
  <c r="F64" i="5"/>
  <c r="G64" i="5" s="1"/>
  <c r="F66" i="5"/>
  <c r="G66" i="5" s="1"/>
  <c r="F67" i="5"/>
  <c r="G67" i="5" s="1"/>
  <c r="F68" i="5"/>
  <c r="G68" i="5" s="1"/>
  <c r="F70" i="5"/>
  <c r="G70" i="5" s="1"/>
  <c r="F57" i="5"/>
  <c r="G57" i="5" s="1"/>
  <c r="F54" i="5"/>
  <c r="G54" i="5" s="1"/>
  <c r="F53" i="5"/>
  <c r="G53" i="5" s="1"/>
  <c r="F55" i="5"/>
  <c r="G55" i="5" s="1"/>
  <c r="F56" i="5"/>
  <c r="G56" i="5" s="1"/>
  <c r="F49" i="5"/>
  <c r="G49" i="5" s="1"/>
  <c r="F50" i="5"/>
  <c r="G50" i="5" s="1"/>
  <c r="F51" i="5"/>
  <c r="G51" i="5" s="1"/>
  <c r="F52" i="5"/>
  <c r="G52" i="5" s="1"/>
  <c r="F48" i="5"/>
  <c r="G48" i="5" s="1"/>
  <c r="L19" i="25"/>
  <c r="A34" i="10"/>
  <c r="C34" i="10" s="1"/>
  <c r="C35" i="10" s="1"/>
  <c r="C37" i="10" s="1"/>
  <c r="A28" i="10"/>
  <c r="C28" i="10" s="1"/>
  <c r="N13" i="31"/>
  <c r="O13" i="31" s="1"/>
  <c r="N14" i="31"/>
  <c r="O14" i="31" s="1"/>
  <c r="N15" i="31"/>
  <c r="O15" i="31" s="1"/>
  <c r="N16" i="31"/>
  <c r="O16" i="31" s="1"/>
  <c r="N17" i="31"/>
  <c r="O17" i="31" s="1"/>
  <c r="N18" i="31"/>
  <c r="O18" i="31" s="1"/>
  <c r="N8" i="31"/>
  <c r="O8" i="31" s="1"/>
  <c r="N9" i="31"/>
  <c r="O9" i="31" s="1"/>
  <c r="N12" i="31"/>
  <c r="O12" i="31" s="1"/>
  <c r="A42" i="5"/>
  <c r="A36" i="5"/>
  <c r="C94" i="5"/>
  <c r="C93" i="5"/>
  <c r="C92" i="5"/>
  <c r="C91" i="5"/>
  <c r="C90" i="5"/>
  <c r="C89" i="5"/>
  <c r="C88" i="5"/>
  <c r="C87" i="5"/>
  <c r="E10" i="12" l="1"/>
  <c r="G42" i="12"/>
  <c r="D10" i="12" s="1"/>
  <c r="G78" i="5"/>
  <c r="I42" i="12"/>
  <c r="C95" i="5"/>
  <c r="O19" i="31"/>
  <c r="C36" i="5"/>
  <c r="E36" i="5" s="1"/>
  <c r="F36" i="5" s="1"/>
  <c r="C42" i="5"/>
  <c r="E42" i="5" s="1"/>
  <c r="F42" i="5" s="1"/>
  <c r="B9" i="42"/>
  <c r="C46" i="32" s="1"/>
  <c r="D15" i="23"/>
  <c r="C51" i="32" s="1"/>
  <c r="E15" i="23"/>
  <c r="C52" i="32" s="1"/>
  <c r="D9" i="41"/>
  <c r="D10" i="40"/>
  <c r="E12" i="43" l="1"/>
  <c r="E14" i="43" s="1"/>
  <c r="C45" i="32" s="1"/>
  <c r="H12" i="43"/>
  <c r="H14" i="43" s="1"/>
  <c r="C47" i="32" s="1"/>
  <c r="L12" i="43"/>
  <c r="L14" i="43" s="1"/>
  <c r="C48" i="32" s="1"/>
  <c r="B9" i="39"/>
  <c r="C50" i="32" s="1"/>
  <c r="B10" i="38"/>
  <c r="C44" i="32" s="1"/>
  <c r="D10" i="20"/>
  <c r="C40" i="32" s="1"/>
  <c r="G40" i="32" s="1"/>
  <c r="C36" i="32"/>
  <c r="C31" i="32"/>
  <c r="C37" i="32"/>
  <c r="C26" i="32"/>
  <c r="C25" i="32"/>
  <c r="E11" i="36"/>
  <c r="F11" i="36" s="1"/>
  <c r="E10" i="36"/>
  <c r="C27" i="32"/>
  <c r="G27" i="32" s="1"/>
  <c r="B11" i="34"/>
  <c r="B10" i="33"/>
  <c r="C14" i="32"/>
  <c r="G14" i="32" s="1"/>
  <c r="F10" i="36" l="1"/>
  <c r="F14" i="36" s="1"/>
  <c r="C38" i="32" s="1"/>
  <c r="E12" i="36"/>
  <c r="E14" i="36" s="1"/>
  <c r="G31" i="32" l="1"/>
  <c r="G46" i="32" l="1"/>
  <c r="G25" i="32"/>
  <c r="G55" i="32"/>
  <c r="G26" i="32"/>
  <c r="G59" i="32" l="1"/>
  <c r="G52" i="32"/>
  <c r="G51" i="32"/>
  <c r="G50" i="32"/>
  <c r="G49" i="32"/>
  <c r="G48" i="32"/>
  <c r="G47" i="32"/>
  <c r="G45" i="32"/>
  <c r="G44" i="32"/>
  <c r="G41" i="32"/>
  <c r="G39" i="32"/>
  <c r="I39" i="32" s="1"/>
  <c r="G38" i="32"/>
  <c r="G37" i="32"/>
  <c r="G36" i="32"/>
  <c r="G30" i="32"/>
  <c r="G29" i="32"/>
  <c r="G17" i="32"/>
  <c r="G60" i="32"/>
  <c r="D21" i="9" l="1"/>
  <c r="D22" i="9" s="1"/>
  <c r="G10" i="32" l="1"/>
  <c r="C15" i="32" l="1"/>
  <c r="G15" i="32" s="1"/>
  <c r="M7" i="30" l="1"/>
  <c r="G7" i="30"/>
  <c r="E7" i="30"/>
  <c r="C7" i="30"/>
  <c r="F7" i="30" s="1"/>
  <c r="B7" i="30"/>
  <c r="D7" i="30" s="1"/>
  <c r="M6" i="30"/>
  <c r="G6" i="30"/>
  <c r="E6" i="30"/>
  <c r="C6" i="30"/>
  <c r="F6" i="30" s="1"/>
  <c r="B6" i="30"/>
  <c r="D6" i="30" s="1"/>
  <c r="M5" i="30"/>
  <c r="G5" i="30"/>
  <c r="E5" i="30"/>
  <c r="C5" i="30"/>
  <c r="F5" i="30" s="1"/>
  <c r="B5" i="30"/>
  <c r="D5" i="30" s="1"/>
  <c r="L4" i="30"/>
  <c r="M4" i="30" s="1"/>
  <c r="G4" i="30"/>
  <c r="E4" i="30"/>
  <c r="C4" i="30"/>
  <c r="F4" i="30" s="1"/>
  <c r="B4" i="30"/>
  <c r="D4" i="30" s="1"/>
  <c r="G3" i="30"/>
  <c r="E3" i="30"/>
  <c r="C3" i="30"/>
  <c r="F3" i="30" s="1"/>
  <c r="B3" i="30"/>
  <c r="D3" i="30" s="1"/>
  <c r="G2" i="30"/>
  <c r="C2" i="30" s="1"/>
  <c r="E2" i="30"/>
  <c r="B2" i="30" s="1"/>
  <c r="E12" i="24"/>
  <c r="C58" i="32" s="1"/>
  <c r="G58" i="32" s="1"/>
  <c r="D12" i="24"/>
  <c r="C57" i="32" s="1"/>
  <c r="G57" i="32" s="1"/>
  <c r="F15" i="23"/>
  <c r="C53" i="32" s="1"/>
  <c r="G53" i="32" s="1"/>
  <c r="N33" i="21"/>
  <c r="N32" i="21"/>
  <c r="N31" i="21"/>
  <c r="N30" i="21"/>
  <c r="N29" i="21"/>
  <c r="N28" i="21"/>
  <c r="N27" i="21"/>
  <c r="N26" i="21"/>
  <c r="N25" i="21"/>
  <c r="M25" i="21"/>
  <c r="N24" i="21"/>
  <c r="M24" i="21"/>
  <c r="N23" i="21"/>
  <c r="M23" i="21"/>
  <c r="G12" i="21"/>
  <c r="C43" i="32" s="1"/>
  <c r="G43" i="32" s="1"/>
  <c r="F12" i="21"/>
  <c r="C42" i="32" s="1"/>
  <c r="G42" i="32" s="1"/>
  <c r="N21" i="21"/>
  <c r="M21" i="21"/>
  <c r="N19" i="21"/>
  <c r="M19" i="21"/>
  <c r="N13" i="21"/>
  <c r="M13" i="21"/>
  <c r="N12" i="21"/>
  <c r="M12" i="21"/>
  <c r="N11" i="21"/>
  <c r="M11" i="21"/>
  <c r="N10" i="21"/>
  <c r="M10" i="21"/>
  <c r="D11" i="19"/>
  <c r="C35" i="32" s="1"/>
  <c r="G35" i="32" s="1"/>
  <c r="C11" i="19"/>
  <c r="C34" i="32" s="1"/>
  <c r="G34" i="32" s="1"/>
  <c r="C33" i="32"/>
  <c r="G33" i="32" s="1"/>
  <c r="C32" i="32"/>
  <c r="G32" i="32" s="1"/>
  <c r="C24" i="32"/>
  <c r="G24" i="32" s="1"/>
  <c r="C23" i="32"/>
  <c r="G23" i="32" s="1"/>
  <c r="C22" i="32"/>
  <c r="G22" i="32" s="1"/>
  <c r="D14" i="14"/>
  <c r="C21" i="32" s="1"/>
  <c r="G21" i="32" s="1"/>
  <c r="G20" i="32"/>
  <c r="Q22" i="13"/>
  <c r="N21" i="13"/>
  <c r="N20" i="13"/>
  <c r="N19" i="13"/>
  <c r="N18" i="13"/>
  <c r="N17" i="13"/>
  <c r="E13" i="12"/>
  <c r="C18" i="32" s="1"/>
  <c r="G18" i="32" s="1"/>
  <c r="D13" i="12"/>
  <c r="G16" i="32" s="1"/>
  <c r="D9" i="10"/>
  <c r="M35" i="9"/>
  <c r="N35" i="9" s="1"/>
  <c r="M16" i="9" s="1"/>
  <c r="N16" i="9" s="1"/>
  <c r="O16" i="9" s="1"/>
  <c r="K35" i="9"/>
  <c r="L35" i="9" s="1"/>
  <c r="M17" i="9" s="1"/>
  <c r="N17" i="9" s="1"/>
  <c r="O17" i="9" s="1"/>
  <c r="I35" i="9"/>
  <c r="J35" i="9" s="1"/>
  <c r="M20" i="9" s="1"/>
  <c r="N20" i="9" s="1"/>
  <c r="O20" i="9" s="1"/>
  <c r="G35" i="9"/>
  <c r="H35" i="9" s="1"/>
  <c r="M21" i="9" s="1"/>
  <c r="N21" i="9" s="1"/>
  <c r="O21" i="9" s="1"/>
  <c r="M34" i="9"/>
  <c r="N34" i="9" s="1"/>
  <c r="M15" i="9" s="1"/>
  <c r="N15" i="9" s="1"/>
  <c r="O15" i="9" s="1"/>
  <c r="K34" i="9"/>
  <c r="L34" i="9" s="1"/>
  <c r="M14" i="9" s="1"/>
  <c r="N14" i="9" s="1"/>
  <c r="O14" i="9" s="1"/>
  <c r="I34" i="9"/>
  <c r="J34" i="9" s="1"/>
  <c r="M19" i="9" s="1"/>
  <c r="N19" i="9" s="1"/>
  <c r="O19" i="9" s="1"/>
  <c r="G34" i="9"/>
  <c r="H34" i="9" s="1"/>
  <c r="M18" i="9" s="1"/>
  <c r="N18" i="9" s="1"/>
  <c r="O18" i="9" s="1"/>
  <c r="M11" i="9"/>
  <c r="N11" i="9" s="1"/>
  <c r="O11" i="9" s="1"/>
  <c r="M10" i="9"/>
  <c r="N10" i="9" s="1"/>
  <c r="O10" i="9" s="1"/>
  <c r="M9" i="9"/>
  <c r="N9" i="9" s="1"/>
  <c r="O9" i="9" s="1"/>
  <c r="M8" i="9"/>
  <c r="N8" i="9" s="1"/>
  <c r="O8" i="9" s="1"/>
  <c r="M4" i="9"/>
  <c r="N4" i="9" s="1"/>
  <c r="O4" i="9" s="1"/>
  <c r="B9" i="8"/>
  <c r="C13" i="32" s="1"/>
  <c r="G13" i="32" s="1"/>
  <c r="G11" i="32"/>
  <c r="I11" i="32" s="1"/>
  <c r="D10" i="2"/>
  <c r="C12" i="32" s="1"/>
  <c r="G12" i="32" s="1"/>
  <c r="G67" i="32" l="1"/>
  <c r="I18" i="32"/>
  <c r="O4" i="30"/>
  <c r="N22" i="21"/>
  <c r="M22" i="21"/>
  <c r="N22" i="13"/>
  <c r="O20" i="13" s="1"/>
  <c r="P20" i="13" s="1"/>
  <c r="H15" i="23"/>
  <c r="C56" i="32" s="1"/>
  <c r="G56" i="32" s="1"/>
  <c r="G73" i="32" l="1"/>
  <c r="O18" i="13"/>
  <c r="P18" i="13" s="1"/>
  <c r="O21" i="13"/>
  <c r="P21" i="13" s="1"/>
  <c r="O17" i="13"/>
  <c r="P17" i="13" s="1"/>
  <c r="O19" i="13"/>
  <c r="P19" i="13" s="1"/>
  <c r="L54" i="32" l="1"/>
  <c r="L9" i="32"/>
  <c r="L19" i="32"/>
  <c r="L28" i="32"/>
  <c r="L52" i="32"/>
  <c r="L11" i="32"/>
  <c r="L63" i="32"/>
  <c r="L62" i="32"/>
  <c r="L71" i="32"/>
  <c r="L61" i="32"/>
  <c r="L57" i="32"/>
  <c r="L46" i="32"/>
  <c r="L47" i="32"/>
  <c r="L53" i="32"/>
  <c r="L36" i="32"/>
  <c r="L10" i="32"/>
  <c r="L42" i="32"/>
  <c r="L27" i="32"/>
  <c r="L12" i="32"/>
  <c r="L18" i="32"/>
  <c r="G75" i="32"/>
  <c r="G77" i="32" s="1"/>
  <c r="L45" i="32"/>
  <c r="L38" i="32"/>
  <c r="L56" i="32"/>
  <c r="L33" i="32"/>
  <c r="L44" i="32"/>
  <c r="L15" i="32"/>
  <c r="L14" i="32"/>
  <c r="L25" i="32"/>
  <c r="L37" i="32"/>
  <c r="L13" i="32"/>
  <c r="L59" i="32"/>
  <c r="L34" i="32"/>
  <c r="L31" i="32"/>
  <c r="L30" i="32"/>
  <c r="L58" i="32"/>
  <c r="L35" i="32"/>
  <c r="L20" i="32"/>
  <c r="L40" i="32"/>
  <c r="L43" i="32"/>
  <c r="L29" i="32"/>
  <c r="L21" i="32"/>
  <c r="L39" i="32"/>
  <c r="L26" i="32"/>
  <c r="L60" i="32"/>
  <c r="L48" i="32"/>
  <c r="L17" i="32"/>
  <c r="L23" i="32"/>
  <c r="L16" i="32"/>
  <c r="L51" i="32"/>
  <c r="L24" i="32"/>
  <c r="L41" i="32"/>
  <c r="L49" i="32"/>
  <c r="L22" i="32"/>
  <c r="L69" i="32"/>
  <c r="L32" i="32"/>
  <c r="L50" i="32"/>
  <c r="L55" i="32"/>
  <c r="L67" i="32" l="1"/>
</calcChain>
</file>

<file path=xl/sharedStrings.xml><?xml version="1.0" encoding="utf-8"?>
<sst xmlns="http://schemas.openxmlformats.org/spreadsheetml/2006/main" count="1144" uniqueCount="407">
  <si>
    <t>NOTE:  ALL ITEMS AND QUANTITIES ON THIS SHEET ARE FOR ENGINEER</t>
  </si>
  <si>
    <t xml:space="preserve">            ESTIMATE CATEGORY 0010 UNLESS OTHERWISE NOTED.</t>
  </si>
  <si>
    <t>STATION</t>
  </si>
  <si>
    <t>LOCATION</t>
  </si>
  <si>
    <t>EACH</t>
  </si>
  <si>
    <t>REMARKS</t>
  </si>
  <si>
    <t>RT</t>
  </si>
  <si>
    <t>LT</t>
  </si>
  <si>
    <t>LS</t>
  </si>
  <si>
    <t>STATION - STATION</t>
  </si>
  <si>
    <t>SY</t>
  </si>
  <si>
    <t xml:space="preserve">  </t>
  </si>
  <si>
    <t>REMOVING ASPHALTIC SURFACE MILLING</t>
  </si>
  <si>
    <t>LT &amp; RT</t>
  </si>
  <si>
    <t>LF</t>
  </si>
  <si>
    <t>211.0100.01</t>
  </si>
  <si>
    <t>BASE COURSE ITEMS</t>
  </si>
  <si>
    <t>ft2</t>
  </si>
  <si>
    <t>ft3</t>
  </si>
  <si>
    <t>cy</t>
  </si>
  <si>
    <t xml:space="preserve">tons </t>
  </si>
  <si>
    <t xml:space="preserve">525+85.68 - 526+11.59 </t>
  </si>
  <si>
    <t>BASE</t>
  </si>
  <si>
    <t>AGGREGATE</t>
  </si>
  <si>
    <t>DENSE</t>
  </si>
  <si>
    <t>3/4-INCH</t>
  </si>
  <si>
    <t>545+96.82 - 546+16.31</t>
  </si>
  <si>
    <t>TON</t>
  </si>
  <si>
    <t>546+71.62 - 547+25.15</t>
  </si>
  <si>
    <t>563+84.27 - 564+06.74</t>
  </si>
  <si>
    <t>620+29.83 - 620+57.73</t>
  </si>
  <si>
    <t>547+25.15 - 550+28.46</t>
  </si>
  <si>
    <t>547+62.18 - 550+29.11</t>
  </si>
  <si>
    <t>551+60.62 - 553+81.19</t>
  </si>
  <si>
    <t>551+78.35 - 553+48.05</t>
  </si>
  <si>
    <t>5.5% RT 8"</t>
  </si>
  <si>
    <t>5.5% LT 8"</t>
  </si>
  <si>
    <t>5.5% RT 4"</t>
  </si>
  <si>
    <t>5.5% LT 4"</t>
  </si>
  <si>
    <t>SHAPING SHOULDERS</t>
  </si>
  <si>
    <t>STA</t>
  </si>
  <si>
    <t>HMA PAVEMENT ITEMS</t>
  </si>
  <si>
    <t>HMA</t>
  </si>
  <si>
    <t>PAVEMENT</t>
  </si>
  <si>
    <t>TACK COAT</t>
  </si>
  <si>
    <t>GAL</t>
  </si>
  <si>
    <t>adjusted for driveway item</t>
  </si>
  <si>
    <t>Asphalt</t>
  </si>
  <si>
    <t>CULVERT PIPE ITEMS</t>
  </si>
  <si>
    <t>MIXTURE</t>
  </si>
  <si>
    <t>24-INCH</t>
  </si>
  <si>
    <t>TOPSOIL</t>
  </si>
  <si>
    <t>TYPE A</t>
  </si>
  <si>
    <t>NO. 30</t>
  </si>
  <si>
    <t>CWT</t>
  </si>
  <si>
    <t>LB</t>
  </si>
  <si>
    <t>EROSION CONTROL ITEMS</t>
  </si>
  <si>
    <t>SILT</t>
  </si>
  <si>
    <t>CULVERT</t>
  </si>
  <si>
    <t>FENCE</t>
  </si>
  <si>
    <t>PIPE</t>
  </si>
  <si>
    <t>MAINTENANCE</t>
  </si>
  <si>
    <t>CHECKS</t>
  </si>
  <si>
    <t>MOBILIZATIONS EROSION CONTROL ITEMS</t>
  </si>
  <si>
    <t xml:space="preserve">MOBILIZATIONS </t>
  </si>
  <si>
    <t>MOBILIZATIONS EMERGENCY</t>
  </si>
  <si>
    <t>EROSION CONTROL</t>
  </si>
  <si>
    <t>MARKERS CULVERT END</t>
  </si>
  <si>
    <t>SIGNS</t>
  </si>
  <si>
    <t>TYPE II</t>
  </si>
  <si>
    <t>Distance</t>
  </si>
  <si>
    <t>Height</t>
  </si>
  <si>
    <t>SF</t>
  </si>
  <si>
    <t>TRAFFIC CONTROL ITEMS</t>
  </si>
  <si>
    <t>TRAFFIC CONTROL</t>
  </si>
  <si>
    <t>DAY</t>
  </si>
  <si>
    <t>PAVEMENT MARKING ITEMS</t>
  </si>
  <si>
    <t xml:space="preserve">EPOXY </t>
  </si>
  <si>
    <t>EPOXY</t>
  </si>
  <si>
    <t>PAINT</t>
  </si>
  <si>
    <t>4-INCH</t>
  </si>
  <si>
    <t>8-INCH</t>
  </si>
  <si>
    <t>(WHITE)</t>
  </si>
  <si>
    <t>(YELLOW CL)</t>
  </si>
  <si>
    <t>CONSTRUCTION STAKING</t>
  </si>
  <si>
    <t>650.9910.01</t>
  </si>
  <si>
    <t xml:space="preserve">SUPPLEMENTAL </t>
  </si>
  <si>
    <t xml:space="preserve">RESURFACING </t>
  </si>
  <si>
    <t>CONTROL</t>
  </si>
  <si>
    <t>REFERENCE</t>
  </si>
  <si>
    <t>SAWING ASPHALT</t>
  </si>
  <si>
    <t>INCENTIVE IRI RIDE</t>
  </si>
  <si>
    <t>DOL</t>
  </si>
  <si>
    <t>INCENTIVE DENSITY HMA PAVEMENT</t>
  </si>
  <si>
    <t>MOBILIZATION</t>
  </si>
  <si>
    <t>FIELD OFFICE TYPE B</t>
  </si>
  <si>
    <t>R</t>
  </si>
  <si>
    <t>x</t>
  </si>
  <si>
    <t>y</t>
  </si>
  <si>
    <t>R/x</t>
  </si>
  <si>
    <t>R/y</t>
  </si>
  <si>
    <t>ASPHALTIC CENTERLINE RUMBLE STRIPS 2-LANE RURAL</t>
  </si>
  <si>
    <t>SHOULDER SHAPING MATERIAL</t>
  </si>
  <si>
    <t>REMOVING ASPHALTIC SURFACE BUTT JOINTS</t>
  </si>
  <si>
    <t>(YELLOW)</t>
  </si>
  <si>
    <t>REMOVE AEW</t>
  </si>
  <si>
    <t>274+67</t>
  </si>
  <si>
    <t>291+50</t>
  </si>
  <si>
    <t>STH 22</t>
  </si>
  <si>
    <t>STH 22 INTERSECTIONS</t>
  </si>
  <si>
    <t xml:space="preserve">APRON ENDWALLS  </t>
  </si>
  <si>
    <t>FOR CULVERT PIPE</t>
  </si>
  <si>
    <t>5 MT 58-28 S</t>
  </si>
  <si>
    <t>BEAM GUARD</t>
  </si>
  <si>
    <t>REPLACING GUARDRAIL</t>
  </si>
  <si>
    <t>POSTS AND BLOCKS</t>
  </si>
  <si>
    <t>RAIL AND HARDWARE</t>
  </si>
  <si>
    <t>ID 6590-02-75</t>
  </si>
  <si>
    <t>Waupaca - Clintonville</t>
  </si>
  <si>
    <t>WCL RR Bridge to STH 110S</t>
  </si>
  <si>
    <t>Waupaca County</t>
  </si>
  <si>
    <t>UNIT</t>
  </si>
  <si>
    <t>TOTAL</t>
  </si>
  <si>
    <t>% of Total Project Cost</t>
  </si>
  <si>
    <t>ITEM #</t>
  </si>
  <si>
    <t>ITEM</t>
  </si>
  <si>
    <t>QUANTITY</t>
  </si>
  <si>
    <t>NOTES</t>
  </si>
  <si>
    <t>BASE AGGREGATE DENSE 3/4-INCH</t>
  </si>
  <si>
    <t>HMA PAVEMENT 5 MT 58-28 S</t>
  </si>
  <si>
    <t>APRON ENDWALLS FOR CULVERT PIPE REINFORCED CONCRETE 24-INCH</t>
  </si>
  <si>
    <t>MULCHING</t>
  </si>
  <si>
    <t>SILT FENCE</t>
  </si>
  <si>
    <t>SILT FENCE MAINTENANCE</t>
  </si>
  <si>
    <t>MOBILIZATIONS EROSION CONTROL</t>
  </si>
  <si>
    <t>MOBILIZATIONS EMERGENCY EROSION CONTROL</t>
  </si>
  <si>
    <t>EROSION MAT CLASS I TYPE B</t>
  </si>
  <si>
    <t>CULVERT PIPE CHECKS</t>
  </si>
  <si>
    <t>SEEDING MIXTURE NO. 30</t>
  </si>
  <si>
    <t>REMOVING SMALL SIGN SUPPORTS</t>
  </si>
  <si>
    <t>TRAFFIC CONTROL DRUMS</t>
  </si>
  <si>
    <t>TRAFFIC CONTROL WARNING LIGHTS TYPE C</t>
  </si>
  <si>
    <t>TRAFFIC CONTROL SIGNS</t>
  </si>
  <si>
    <t>TRAFFIC CONTROL SIGNS FIXED MESSAGE</t>
  </si>
  <si>
    <t>MARKING LINE EPOXY 4-INCH</t>
  </si>
  <si>
    <t>MARKING LINE GROOVED WET REF EPOXY 4-INCH</t>
  </si>
  <si>
    <t>Major Items</t>
  </si>
  <si>
    <t>Mobilization</t>
  </si>
  <si>
    <t>Traffic Control</t>
  </si>
  <si>
    <t>PROJECT LET TOTAL</t>
  </si>
  <si>
    <t>10% ENGINEERING &amp; CONTINGENCIES</t>
  </si>
  <si>
    <t>PROJECT CONSTRUCTION TOTAL</t>
  </si>
  <si>
    <t>PREPARE FOUNDATION FOR ASPHALTIC PAVING (6590-02-75)</t>
  </si>
  <si>
    <t>FINISHING ROADWAY (6590-02-75)</t>
  </si>
  <si>
    <t>213.0100.01</t>
  </si>
  <si>
    <t>(6590-02-75)</t>
  </si>
  <si>
    <t>ASPHALT CENTERLINE RUMBLE STRIPS 2-LANE RURAL</t>
  </si>
  <si>
    <t>CONSTRUCTION STAKING SUPPLEMENTAL CONTROL (6590-02-75)</t>
  </si>
  <si>
    <t>MAINTENANCE AND REPAIR OF HAUL ROADS (6590-02-75)</t>
  </si>
  <si>
    <t>ADJUSTING STEEL PLATE BEAM GUARD</t>
  </si>
  <si>
    <t>REPLACING GUARDRAIL POSTS AND BLOCKS</t>
  </si>
  <si>
    <t>REPLACING GUARDRAIL RAIL AND HARDWARE</t>
  </si>
  <si>
    <t>TOTALS:</t>
  </si>
  <si>
    <t>TOTAL:</t>
  </si>
  <si>
    <t>POSTS WOOD 4x6-INCH X 14-FT</t>
  </si>
  <si>
    <t>LOCATING NO-PASSING ZONES</t>
  </si>
  <si>
    <t>MI</t>
  </si>
  <si>
    <t>CONSTRUCTION STAKING RESURFACING REFERENCE</t>
  </si>
  <si>
    <t>REPLACING GUARDRAIL REFLECTORS</t>
  </si>
  <si>
    <t>643.0310.S</t>
  </si>
  <si>
    <t>TEMPORARY PORTABLE RUMBLE STRIPS</t>
  </si>
  <si>
    <t>EROSION BALES</t>
  </si>
  <si>
    <t>FERTILIZER TYPE A</t>
  </si>
  <si>
    <t xml:space="preserve">TOTAL: </t>
  </si>
  <si>
    <t>HWY</t>
  </si>
  <si>
    <t>SPV.0060.01</t>
  </si>
  <si>
    <t>204.9060.S</t>
  </si>
  <si>
    <t>REMOVING APRON ENDWALL</t>
  </si>
  <si>
    <t>FINISHING ROADWAY</t>
  </si>
  <si>
    <t>FIELD OFFICE</t>
  </si>
  <si>
    <t>118+06.57 - 121+85.87</t>
  </si>
  <si>
    <t>123+96.78 - 332+17.47</t>
  </si>
  <si>
    <t>PATCHING</t>
  </si>
  <si>
    <t>ASPHALTIC</t>
  </si>
  <si>
    <t>INCENTIVE</t>
  </si>
  <si>
    <t>IRI RIDE</t>
  </si>
  <si>
    <t>COAT</t>
  </si>
  <si>
    <t>TACK</t>
  </si>
  <si>
    <t>RESTORATION ITEMS</t>
  </si>
  <si>
    <t>FERTILIZER</t>
  </si>
  <si>
    <t>SEEDING</t>
  </si>
  <si>
    <t>UNDISTRIBUTED</t>
  </si>
  <si>
    <t>TEMPORARY</t>
  </si>
  <si>
    <t>REPLACING</t>
  </si>
  <si>
    <t>GUARDRAIL</t>
  </si>
  <si>
    <t>REFLECTORS</t>
  </si>
  <si>
    <t>ADJUSTING</t>
  </si>
  <si>
    <t>STEEL PLATE</t>
  </si>
  <si>
    <t>EROSION</t>
  </si>
  <si>
    <t>BALES</t>
  </si>
  <si>
    <t>EROSION MAT</t>
  </si>
  <si>
    <t>CLASS I</t>
  </si>
  <si>
    <t>TYPE B</t>
  </si>
  <si>
    <t>FOR REPLACING AEW</t>
  </si>
  <si>
    <t>MARKING</t>
  </si>
  <si>
    <t>MARKING LINE</t>
  </si>
  <si>
    <t>GROOVED</t>
  </si>
  <si>
    <t>WET REFLECTIVE</t>
  </si>
  <si>
    <t>TEMPORARY PAVEMENT MARKING PAINT 4-INCH</t>
  </si>
  <si>
    <t>643.0900*</t>
  </si>
  <si>
    <t>TRAFFIC CONTROL WARNING LIGHTS</t>
  </si>
  <si>
    <t>DURATION</t>
  </si>
  <si>
    <t>TYPE C</t>
  </si>
  <si>
    <t>ROADWAY</t>
  </si>
  <si>
    <t>(DAYS)</t>
  </si>
  <si>
    <t>EACH**</t>
  </si>
  <si>
    <t>** INFORMATION ONLY</t>
  </si>
  <si>
    <t>https://wisconsindot.gov/dtsdManuals/traffic-ops/manuals-and-standards/signplate/wseries/W14-3.pdf</t>
  </si>
  <si>
    <t>Tammy: states only No Passing Zone signs Ed: Per W14-3 Standard Sign Sheet this is Type II -F</t>
  </si>
  <si>
    <t>https://wisconsindot.gov/dtsdManuals/traffic-ops/manuals-and-standards/signplate/aseries/A4-3.pdf</t>
  </si>
  <si>
    <t>By: EAO</t>
  </si>
  <si>
    <t>Checked:</t>
  </si>
  <si>
    <t>AXTELL LN</t>
  </si>
  <si>
    <t>SUNNY VIEW RD</t>
  </si>
  <si>
    <t>MAPLE GROVE ROAD</t>
  </si>
  <si>
    <t>CTH KK</t>
  </si>
  <si>
    <t>HANDRICH RD</t>
  </si>
  <si>
    <t xml:space="preserve"> </t>
  </si>
  <si>
    <t>N MILITARY RD</t>
  </si>
  <si>
    <t>S MILITARY RD</t>
  </si>
  <si>
    <t>From C3D areas (PP:P_RDWY-AsphConc)</t>
  </si>
  <si>
    <t>MAPLE GROVE RD</t>
  </si>
  <si>
    <t>CTH KK BYPASS</t>
  </si>
  <si>
    <t>WIDTH</t>
  </si>
  <si>
    <t>WIDTH IN FT</t>
  </si>
  <si>
    <t>By:EAO</t>
  </si>
  <si>
    <t>10' BACK FROM SAWCUT JOINT (TYP)</t>
  </si>
  <si>
    <t>BEGIN</t>
  </si>
  <si>
    <t>END</t>
  </si>
  <si>
    <t>118+06.57</t>
  </si>
  <si>
    <t>332+17.47</t>
  </si>
  <si>
    <t>MULTIPLIER</t>
  </si>
  <si>
    <t>ROAD WIDTH 1</t>
  </si>
  <si>
    <t>ROAD WIDTH 2</t>
  </si>
  <si>
    <t>By:</t>
  </si>
  <si>
    <t xml:space="preserve">By: </t>
  </si>
  <si>
    <t>SUBTRACT BUTT JOINTS (204.0115)</t>
  </si>
  <si>
    <t>SUBTOTAL</t>
  </si>
  <si>
    <t>Mainline (12' lanes)</t>
  </si>
  <si>
    <t>Asphalt tapers and additional lanes</t>
  </si>
  <si>
    <t>STA - STA</t>
  </si>
  <si>
    <t>123+96.78 - 133+00</t>
  </si>
  <si>
    <t>123+96.78 - 130+40</t>
  </si>
  <si>
    <t>130+40 - 133+00</t>
  </si>
  <si>
    <t>133+00 - 159+18</t>
  </si>
  <si>
    <t>159+18 - 163+55</t>
  </si>
  <si>
    <t>163+55 - 167+10</t>
  </si>
  <si>
    <t>167+10 - 207+20</t>
  </si>
  <si>
    <t>207+20 - 210+80</t>
  </si>
  <si>
    <t>214+60 - 321+30</t>
  </si>
  <si>
    <t>210+80 - 214+60</t>
  </si>
  <si>
    <t>321+30 - 322+90</t>
  </si>
  <si>
    <t>322+90 - 325+00</t>
  </si>
  <si>
    <t>325+00 - 327+65</t>
  </si>
  <si>
    <t>327+65 - 329+22</t>
  </si>
  <si>
    <t>329+22 - 332+17.47</t>
  </si>
  <si>
    <t>133+00 - 135+00</t>
  </si>
  <si>
    <t>135+00 - 159+18</t>
  </si>
  <si>
    <t>TAPERS AND LANES</t>
  </si>
  <si>
    <t>GAL/SY</t>
  </si>
  <si>
    <t>GAL.</t>
  </si>
  <si>
    <t>Tack coat</t>
  </si>
  <si>
    <t>Incentive</t>
  </si>
  <si>
    <t>NOT FOR THIS!</t>
  </si>
  <si>
    <t>http://roadwaystandards.dot.wi.gov/standards/fdm/fd-14-15.pdf</t>
  </si>
  <si>
    <t>Table 10.1    110#/SY/INCH</t>
  </si>
  <si>
    <t>Exception Bridge</t>
  </si>
  <si>
    <t xml:space="preserve">Total </t>
  </si>
  <si>
    <t>118+06.57 - 332+17.47</t>
  </si>
  <si>
    <t>121+85.87 - 123+96.78</t>
  </si>
  <si>
    <t>136+51</t>
  </si>
  <si>
    <t>210+79</t>
  </si>
  <si>
    <t>REFLECTORS 90' SPACING DUE TO RADIUS</t>
  </si>
  <si>
    <t>BEGIN TO AXTELL</t>
  </si>
  <si>
    <t>BEGIN TO HANDRICH</t>
  </si>
  <si>
    <t>AXTELL TO SUNNY VIEW</t>
  </si>
  <si>
    <t>S MILITARY TO END</t>
  </si>
  <si>
    <t>N MILITARY TO CTH KK</t>
  </si>
  <si>
    <t>CTH KK TO END</t>
  </si>
  <si>
    <t>Edge Line Marking</t>
  </si>
  <si>
    <t>HANDRICH TO S MILITARY</t>
  </si>
  <si>
    <t>MAPLE GROVE TO N MILITARY</t>
  </si>
  <si>
    <t>SUNNY VIEW TO MAPLE GROVE</t>
  </si>
  <si>
    <t>Epoxy 4" white</t>
  </si>
  <si>
    <t>Epoxy 8" white</t>
  </si>
  <si>
    <t>TRAFFIC CONTROL SIGNS FIXED MESSAGE (72"X36")</t>
  </si>
  <si>
    <t xml:space="preserve">Centerline LF </t>
  </si>
  <si>
    <t>Solid Line</t>
  </si>
  <si>
    <t>Skips</t>
  </si>
  <si>
    <t>Paint LF</t>
  </si>
  <si>
    <t>Golf course</t>
  </si>
  <si>
    <t>RT &amp; LT</t>
  </si>
  <si>
    <t>2565 TONS ON NEW ESTIMATE per Tammy</t>
  </si>
  <si>
    <t>Use LF of Edge Line Marking Epoxy white for Shouldering(minus curb RT per typicals)</t>
  </si>
  <si>
    <t>Remove from Edge Line Marking LF</t>
  </si>
  <si>
    <t>322+90 - 329+22</t>
  </si>
  <si>
    <t>Stations (with C &amp; G)</t>
  </si>
  <si>
    <t>Total</t>
  </si>
  <si>
    <t>CF</t>
  </si>
  <si>
    <t>CY</t>
  </si>
  <si>
    <t>TONS</t>
  </si>
  <si>
    <t xml:space="preserve">SF of XS of shoulder </t>
  </si>
  <si>
    <t>3/4" thick</t>
  </si>
  <si>
    <t>1-1/2" thick</t>
  </si>
  <si>
    <t>Mainline(going straight through intersections)</t>
  </si>
  <si>
    <t>COMMERCIAL ENTRANCES</t>
  </si>
  <si>
    <t>MILITARY RD</t>
  </si>
  <si>
    <t>SUNNY VIEW /HANDRICH RD</t>
  </si>
  <si>
    <t>INTERSECTIONS</t>
  </si>
  <si>
    <t>BRIDGE  (+ APPROACHES + 25' EACH WAY)</t>
  </si>
  <si>
    <t>MAINLINE  (EXCEPTION  INCLUDED; BRIDGE)</t>
  </si>
  <si>
    <t>AT WCL BRIDGE</t>
  </si>
  <si>
    <t>STH 22 (PROJECT)</t>
  </si>
  <si>
    <t>CLASS A BEAM GUARD</t>
  </si>
  <si>
    <t>REINFORCED CONCRETE</t>
  </si>
  <si>
    <t>--</t>
  </si>
  <si>
    <t>ASP.1T0A</t>
  </si>
  <si>
    <t>ASP.1T0G</t>
  </si>
  <si>
    <t>ON-THE-JOB TRAINING APPRENTICE AT $5.00/HR</t>
  </si>
  <si>
    <t>ON-THE-JOB TRAINING GRADUATE AT $5.00/HR</t>
  </si>
  <si>
    <t>HRS</t>
  </si>
  <si>
    <t>ROADWAY SUBTOTAL  (CAT 0010)</t>
  </si>
  <si>
    <t>Provided by WisDOT</t>
  </si>
  <si>
    <t>By:TST</t>
  </si>
  <si>
    <t>Assumed 24' driveway width for 24 driveways (PE/CE)</t>
  </si>
  <si>
    <t>ASPHALTIC SURFACE</t>
  </si>
  <si>
    <t>FIELD ENTRANCES</t>
  </si>
  <si>
    <t>DRIVEWAYS AND</t>
  </si>
  <si>
    <t>ASPHALT DRIVEWAYS</t>
  </si>
  <si>
    <t>(PROJECT)</t>
  </si>
  <si>
    <t>PS&amp;E CONSTRUCTION ESTIMATE</t>
  </si>
  <si>
    <t xml:space="preserve">MOVING </t>
  </si>
  <si>
    <t>SMALL SIGN</t>
  </si>
  <si>
    <t>SUPPORTS</t>
  </si>
  <si>
    <t>POSTS</t>
  </si>
  <si>
    <t>SURFACE</t>
  </si>
  <si>
    <t>WATER</t>
  </si>
  <si>
    <t>MGAL</t>
  </si>
  <si>
    <t>By: MWB</t>
  </si>
  <si>
    <t>Old quantities table, no longer needed-&gt;&gt;</t>
  </si>
  <si>
    <t>By:MWB</t>
  </si>
  <si>
    <t>15 gal per TON of Base Aggregate</t>
  </si>
  <si>
    <t>MWB</t>
  </si>
  <si>
    <t>Doubled permanent linear footage</t>
  </si>
  <si>
    <t>SAME DAY</t>
  </si>
  <si>
    <t>(LF)</t>
  </si>
  <si>
    <t>Updated Epoxy 8-inch bid item # (646.3040)</t>
  </si>
  <si>
    <t xml:space="preserve">Added 646.4520, used same length as </t>
  </si>
  <si>
    <t>Note, item is still needed in the estimate, just not on the MQ sheets.</t>
  </si>
  <si>
    <t>ASPHALTIC SURFACE PATCHING</t>
  </si>
  <si>
    <t>FOR ASPHALTIC SURFACE PATCHING</t>
  </si>
  <si>
    <t>SIGNING ITEMS</t>
  </si>
  <si>
    <t>MARKING LINE SAME DAY EPOXY 4-INCH</t>
  </si>
  <si>
    <t>By: EAO, TST 1/29/2019 UPDATED PER 90% COMMENTS</t>
  </si>
  <si>
    <t>NO PASSING ZONE SIGNS</t>
  </si>
  <si>
    <t>REMOVING</t>
  </si>
  <si>
    <t>WOOD</t>
  </si>
  <si>
    <t>STH 22 (UNDISTRIBUTED)</t>
  </si>
  <si>
    <t>4X6-INCH x 14-FT</t>
  </si>
  <si>
    <t>---</t>
  </si>
  <si>
    <t>MARKING LINE GROOVED WET REFLECTIVE EPOXY 8-INCH</t>
  </si>
  <si>
    <t>REMOVING ASPHALTIC SURFACE</t>
  </si>
  <si>
    <t>ASPHALT SURFACE PATCHING PAVEMENT REMOVAL</t>
  </si>
  <si>
    <t>Surrounding Counties: Waupaca,Outagamie,Winnebago,Waushara,Portage,Shawano</t>
  </si>
  <si>
    <t xml:space="preserve">Inflated price due to additional scope of work identified in specials.  </t>
  </si>
  <si>
    <t>Formula info</t>
  </si>
  <si>
    <t>May 2019</t>
  </si>
  <si>
    <t>Adjusted date range to review BidX statewide and with surrounding counties for the last 6 months (11/2018 to 5/2019) with similar quantity range due to recent trend for increased prices.  Used inflated average BidX price.</t>
  </si>
  <si>
    <t>Adjusted date range to review BidX statewide and with surrounding counties for the last 6 months (11/2018 to 5/2019) with similar quantity range due to recent trend for increased prices.  Used average BidX price.</t>
  </si>
  <si>
    <t>20190312051</t>
  </si>
  <si>
    <t>Marathon County</t>
  </si>
  <si>
    <t>20190212014</t>
  </si>
  <si>
    <t>Wood County</t>
  </si>
  <si>
    <t>20190115027</t>
  </si>
  <si>
    <t>1.8 miles</t>
  </si>
  <si>
    <t>pulverize and relay</t>
  </si>
  <si>
    <t>mill and resurfacing</t>
  </si>
  <si>
    <t>5.78 miles</t>
  </si>
  <si>
    <t>4.905 miles</t>
  </si>
  <si>
    <t>cold in place recycling</t>
  </si>
  <si>
    <t>Recent proposal IDs in the last 6 months for similar projects were reviewed.  Used average bid price.</t>
  </si>
  <si>
    <t>Recent proposal IDs in the last 6 months for similar projects were reviewed due to recent trend for increased prices.  Used inflated average bid price.</t>
  </si>
  <si>
    <t>Recent proposal IDs in the last 6 months for similar projects and quantities were reviewed due to recent trend for increased prices.  Used inflated average bid price.</t>
  </si>
  <si>
    <t>Recent proposal IDs in the last 6 months for similar projects and quantities were reviewed due to recent trend for increased prices.  Referenced proposal #20190212014 since the project had the closest scope and project length.</t>
  </si>
  <si>
    <t>Recent proposal IDs in the last 6 months for similar projects and quantities were reviewed due to recent trend for increased prices.  Used inflated average bid price for quantity range of 25 to 75 MGAL.</t>
  </si>
  <si>
    <t>Recent Proposal IDs referenced with similar project scope:</t>
  </si>
  <si>
    <t xml:space="preserve">Typical mobilization range is between 3 to 5% of construction cost.  Range of mobilization costs for 3 similar proposals in BidX were between $54,420 to $115,970.   Proposal #20190212014 was the most similar in scope and project length, but only had 1 bid.  The mobilization cost was $95,065.78.  Since there are only 1-2 bidders expected, a slightly below average BidX price was used from the similar proposal.  </t>
  </si>
  <si>
    <t>PS&amp;E UNIT PRICE</t>
  </si>
  <si>
    <t>DRAFT PS&amp;E UNIT PRICE</t>
  </si>
  <si>
    <t>DRAFT PS&amp;E TOTAL PRICE</t>
  </si>
  <si>
    <t>PS&amp;E ESTIMATOR PRICE</t>
  </si>
  <si>
    <t>PS&amp;E BID X PRICE</t>
  </si>
  <si>
    <t>% CHANGE FROM DRAFT PS&amp;E</t>
  </si>
  <si>
    <t>PS&amp;E TOTAL PRICE</t>
  </si>
  <si>
    <t xml:space="preserve">Limited information available for this item.  Adjusted date range to review BidX statewide due for the last 6 months (11/2018 to 5/2019) due to recent trend for increased prices.  Quantities were either more or less than the project quantity.  Weighted average price was $71.71 in Bid X.  Increased average Bid X price was used due to lower quantity when comparing with Bid X prices.  Prices for 4MT 58-28S were also reviewed and recommended price is at the high end of the price range in Bid X for the last 6 months with similar quantity.  See attached Bid Express printouts. </t>
  </si>
  <si>
    <t>MOVING SIGNS TYPE II</t>
  </si>
  <si>
    <t>GRADING AND SHAPING FOR CULVERT ENDS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</si>
</sst>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164" formatCode="0.0000"/>
    <numFmt numFmtId="165" formatCode="0.0"/>
    <numFmt numFmtId="166" formatCode="##&quot; X &quot;##"/>
    <numFmt numFmtId="167" formatCode="&quot;$&quot;#,##0.00"/>
    <numFmt numFmtId="168" formatCode="0.0%"/>
    <numFmt numFmtId="169" formatCode="#,###;\-#,###;&quot;--&quot;;@"/>
    <numFmt numFmtId="170" formatCode="0\+00"/>
    <numFmt numFmtId="171" formatCode="##0&quot;LWF&quot;\+00.00"/>
    <numFmt numFmtId="172" formatCode="0.000"/>
    <numFmt numFmtId="173" formatCode="0.00000"/>
  </numFmts>
  <fonts count="54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charset val="1"/>
    </font>
    <font>
      <b/>
      <sz val="16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u/>
      <sz val="16"/>
      <color rgb="FF000000"/>
      <name val="Arial"/>
      <family val="2"/>
      <charset val="1"/>
    </font>
    <font>
      <strike/>
      <sz val="14"/>
      <color rgb="FF000000"/>
      <name val="Arial"/>
      <family val="2"/>
      <charset val="1"/>
    </font>
    <font>
      <sz val="14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sz val="8"/>
      <color rgb="FF000000"/>
      <name val="Calibri"/>
      <family val="2"/>
      <charset val="1"/>
    </font>
    <font>
      <u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6"/>
      <color rgb="FF000000"/>
      <name val="Calibri"/>
      <family val="2"/>
      <charset val="1"/>
    </font>
    <font>
      <sz val="8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8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4"/>
      <color rgb="FF000000"/>
      <name val="Arial"/>
      <family val="2"/>
      <charset val="1"/>
    </font>
    <font>
      <sz val="16"/>
      <color rgb="FF000000"/>
      <name val="Calibri"/>
      <family val="2"/>
      <charset val="1"/>
    </font>
    <font>
      <u/>
      <sz val="11"/>
      <color rgb="FF000000"/>
      <name val="Calibri"/>
      <family val="2"/>
      <charset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u/>
      <sz val="10"/>
      <name val="Arial"/>
      <family val="2"/>
    </font>
    <font>
      <b/>
      <sz val="10"/>
      <color rgb="FFFF0000"/>
      <name val="Arial"/>
      <family val="2"/>
    </font>
    <font>
      <b/>
      <sz val="9"/>
      <color rgb="FF000000"/>
      <name val="Arial"/>
      <family val="2"/>
      <charset val="1"/>
    </font>
    <font>
      <b/>
      <sz val="9"/>
      <color rgb="FF000000"/>
      <name val="Calibri"/>
      <family val="2"/>
      <charset val="1"/>
    </font>
    <font>
      <sz val="9"/>
      <color rgb="FF000000"/>
      <name val="Arial"/>
      <family val="2"/>
      <charset val="1"/>
    </font>
    <font>
      <sz val="9"/>
      <color rgb="FF000000"/>
      <name val="Calibri"/>
      <family val="2"/>
      <charset val="1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10"/>
      <color rgb="FF000000"/>
      <name val="Arial"/>
      <family val="2"/>
    </font>
    <font>
      <u/>
      <sz val="9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u/>
      <sz val="9"/>
      <color rgb="FF000000"/>
      <name val="Arial"/>
      <family val="2"/>
    </font>
    <font>
      <b/>
      <u/>
      <sz val="10"/>
      <name val="Arial"/>
      <family val="2"/>
    </font>
    <font>
      <u/>
      <sz val="11"/>
      <color theme="10"/>
      <name val="Calibri"/>
      <family val="2"/>
      <charset val="1"/>
    </font>
    <font>
      <sz val="10"/>
      <color rgb="FF000000"/>
      <name val="Arial"/>
      <family val="2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9"/>
      <name val="Calibri"/>
      <family val="2"/>
      <charset val="1"/>
    </font>
    <font>
      <i/>
      <sz val="11"/>
      <color rgb="FF000000"/>
      <name val="Calibri"/>
      <family val="2"/>
    </font>
    <font>
      <i/>
      <sz val="8"/>
      <color rgb="FF000000"/>
      <name val="Arial"/>
      <family val="2"/>
    </font>
    <font>
      <b/>
      <i/>
      <sz val="11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DDDDDD"/>
        <bgColor rgb="FFBDD7EE"/>
      </patternFill>
    </fill>
    <fill>
      <patternFill patternType="solid">
        <fgColor rgb="FFBDD7EE"/>
        <bgColor rgb="FFDDDDDD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ck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 style="thin">
        <color auto="1"/>
      </top>
      <bottom style="thick">
        <color auto="1"/>
      </bottom>
      <diagonal/>
    </border>
  </borders>
  <cellStyleXfs count="11">
    <xf numFmtId="0" fontId="0" fillId="0" borderId="0"/>
    <xf numFmtId="0" fontId="3" fillId="2" borderId="0" applyBorder="0" applyProtection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0" fontId="2" fillId="0" borderId="0"/>
    <xf numFmtId="44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45" fillId="0" borderId="0" applyNumberFormat="0" applyFill="0" applyBorder="0" applyAlignment="0" applyProtection="0"/>
  </cellStyleXfs>
  <cellXfs count="647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left" vertical="center"/>
    </xf>
    <xf numFmtId="0" fontId="5" fillId="0" borderId="0" xfId="0" applyFont="1" applyBorder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left" vertical="center" indent="1"/>
    </xf>
    <xf numFmtId="1" fontId="5" fillId="0" borderId="0" xfId="0" applyNumberFormat="1" applyFont="1" applyBorder="1" applyAlignment="1">
      <alignment horizontal="center" vertical="center"/>
    </xf>
    <xf numFmtId="0" fontId="5" fillId="0" borderId="3" xfId="0" applyFont="1" applyBorder="1"/>
    <xf numFmtId="0" fontId="5" fillId="0" borderId="0" xfId="0" applyFont="1" applyBorder="1" applyAlignment="1">
      <alignment horizontal="left" vertical="center" indent="5"/>
    </xf>
    <xf numFmtId="0" fontId="5" fillId="0" borderId="0" xfId="0" applyFont="1" applyBorder="1" applyAlignment="1">
      <alignment horizontal="left" indent="1"/>
    </xf>
    <xf numFmtId="0" fontId="7" fillId="0" borderId="0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0" fillId="0" borderId="3" xfId="0" applyBorder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0" applyFont="1" applyAlignment="1">
      <alignment vertical="center"/>
    </xf>
    <xf numFmtId="0" fontId="9" fillId="0" borderId="0" xfId="0" applyFont="1" applyBorder="1"/>
    <xf numFmtId="0" fontId="8" fillId="0" borderId="0" xfId="0" applyFont="1"/>
    <xf numFmtId="0" fontId="10" fillId="0" borderId="0" xfId="0" applyFont="1" applyBorder="1"/>
    <xf numFmtId="0" fontId="10" fillId="0" borderId="0" xfId="0" applyFont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5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0" fillId="0" borderId="0" xfId="0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indent="5"/>
    </xf>
    <xf numFmtId="0" fontId="7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Border="1"/>
    <xf numFmtId="0" fontId="3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/>
    <xf numFmtId="0" fontId="4" fillId="0" borderId="0" xfId="0" applyFont="1" applyBorder="1" applyAlignment="1">
      <alignment vertical="center"/>
    </xf>
    <xf numFmtId="2" fontId="5" fillId="0" borderId="0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1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2" fontId="5" fillId="3" borderId="0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 applyBorder="1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23" fillId="0" borderId="0" xfId="2" applyFill="1" applyBorder="1" applyAlignment="1">
      <alignment horizontal="center"/>
    </xf>
    <xf numFmtId="167" fontId="23" fillId="0" borderId="0" xfId="2" applyNumberFormat="1" applyFill="1" applyBorder="1" applyAlignment="1">
      <alignment horizontal="center"/>
    </xf>
    <xf numFmtId="0" fontId="23" fillId="0" borderId="0" xfId="2" applyFill="1"/>
    <xf numFmtId="0" fontId="24" fillId="0" borderId="0" xfId="2" applyFont="1" applyFill="1" applyBorder="1" applyAlignment="1">
      <alignment horizontal="left"/>
    </xf>
    <xf numFmtId="0" fontId="24" fillId="0" borderId="0" xfId="2" applyFont="1" applyFill="1" applyBorder="1" applyAlignment="1">
      <alignment horizontal="center"/>
    </xf>
    <xf numFmtId="49" fontId="24" fillId="0" borderId="0" xfId="2" applyNumberFormat="1" applyFont="1" applyFill="1" applyBorder="1" applyAlignment="1">
      <alignment horizontal="right"/>
    </xf>
    <xf numFmtId="0" fontId="25" fillId="0" borderId="0" xfId="2" applyFont="1" applyFill="1" applyBorder="1" applyAlignment="1">
      <alignment horizontal="left"/>
    </xf>
    <xf numFmtId="0" fontId="25" fillId="0" borderId="0" xfId="2" applyFont="1" applyFill="1" applyBorder="1" applyAlignment="1">
      <alignment horizontal="center"/>
    </xf>
    <xf numFmtId="0" fontId="27" fillId="0" borderId="0" xfId="2" applyFont="1" applyFill="1" applyBorder="1" applyAlignment="1">
      <alignment horizontal="center"/>
    </xf>
    <xf numFmtId="0" fontId="28" fillId="0" borderId="0" xfId="2" applyFont="1" applyFill="1" applyBorder="1" applyAlignment="1">
      <alignment horizontal="center"/>
    </xf>
    <xf numFmtId="0" fontId="27" fillId="0" borderId="12" xfId="2" applyFont="1" applyFill="1" applyBorder="1" applyAlignment="1">
      <alignment horizontal="center"/>
    </xf>
    <xf numFmtId="0" fontId="23" fillId="0" borderId="12" xfId="2" applyFont="1" applyFill="1" applyBorder="1" applyAlignment="1">
      <alignment horizontal="left"/>
    </xf>
    <xf numFmtId="167" fontId="23" fillId="0" borderId="17" xfId="2" applyNumberFormat="1" applyFont="1" applyFill="1" applyBorder="1" applyAlignment="1">
      <alignment horizontal="center" vertical="center"/>
    </xf>
    <xf numFmtId="10" fontId="23" fillId="0" borderId="3" xfId="4" applyNumberFormat="1" applyFont="1" applyFill="1" applyBorder="1" applyAlignment="1">
      <alignment horizontal="center" vertical="center"/>
    </xf>
    <xf numFmtId="0" fontId="23" fillId="0" borderId="15" xfId="2" applyFont="1" applyFill="1" applyBorder="1" applyAlignment="1">
      <alignment horizontal="left" vertical="center"/>
    </xf>
    <xf numFmtId="3" fontId="23" fillId="0" borderId="15" xfId="2" applyNumberFormat="1" applyFont="1" applyFill="1" applyBorder="1" applyAlignment="1">
      <alignment horizontal="center" vertical="center"/>
    </xf>
    <xf numFmtId="0" fontId="23" fillId="0" borderId="15" xfId="2" applyFont="1" applyFill="1" applyBorder="1" applyAlignment="1">
      <alignment horizontal="center" vertical="center"/>
    </xf>
    <xf numFmtId="167" fontId="23" fillId="0" borderId="15" xfId="2" applyNumberFormat="1" applyFont="1" applyFill="1" applyBorder="1" applyAlignment="1">
      <alignment horizontal="center" vertical="center"/>
    </xf>
    <xf numFmtId="0" fontId="23" fillId="0" borderId="17" xfId="2" applyFont="1" applyFill="1" applyBorder="1"/>
    <xf numFmtId="164" fontId="23" fillId="0" borderId="14" xfId="3" applyNumberFormat="1" applyFont="1" applyFill="1" applyBorder="1" applyAlignment="1">
      <alignment horizontal="center" vertical="center"/>
    </xf>
    <xf numFmtId="0" fontId="23" fillId="0" borderId="0" xfId="2" applyFill="1" applyBorder="1"/>
    <xf numFmtId="0" fontId="23" fillId="0" borderId="0" xfId="2" applyFont="1" applyFill="1"/>
    <xf numFmtId="164" fontId="23" fillId="0" borderId="0" xfId="6" applyNumberFormat="1" applyFont="1" applyFill="1" applyBorder="1" applyAlignment="1">
      <alignment horizontal="center" vertical="center"/>
    </xf>
    <xf numFmtId="0" fontId="23" fillId="0" borderId="0" xfId="6" applyFont="1" applyFill="1" applyBorder="1" applyAlignment="1">
      <alignment horizontal="left" vertical="center"/>
    </xf>
    <xf numFmtId="3" fontId="2" fillId="0" borderId="0" xfId="6" applyNumberFormat="1" applyFill="1" applyBorder="1" applyAlignment="1">
      <alignment horizontal="center" vertical="center"/>
    </xf>
    <xf numFmtId="0" fontId="23" fillId="0" borderId="0" xfId="6" applyFont="1" applyFill="1" applyBorder="1" applyAlignment="1">
      <alignment horizontal="center" vertical="center"/>
    </xf>
    <xf numFmtId="167" fontId="2" fillId="0" borderId="0" xfId="6" applyNumberFormat="1" applyFill="1" applyBorder="1" applyAlignment="1">
      <alignment horizontal="center" vertical="center"/>
    </xf>
    <xf numFmtId="167" fontId="23" fillId="0" borderId="0" xfId="6" applyNumberFormat="1" applyFont="1" applyFill="1" applyBorder="1" applyAlignment="1">
      <alignment horizontal="center" vertical="center"/>
    </xf>
    <xf numFmtId="0" fontId="23" fillId="0" borderId="0" xfId="6" applyFont="1" applyFill="1"/>
    <xf numFmtId="0" fontId="2" fillId="0" borderId="0" xfId="6" applyFill="1" applyBorder="1"/>
    <xf numFmtId="0" fontId="2" fillId="0" borderId="0" xfId="6" applyFill="1"/>
    <xf numFmtId="44" fontId="0" fillId="0" borderId="0" xfId="7" applyFont="1" applyFill="1" applyAlignment="1">
      <alignment horizontal="left" vertical="center"/>
    </xf>
    <xf numFmtId="0" fontId="23" fillId="0" borderId="0" xfId="2" applyFont="1" applyFill="1" applyBorder="1" applyAlignment="1">
      <alignment horizontal="center" vertical="center"/>
    </xf>
    <xf numFmtId="10" fontId="0" fillId="0" borderId="0" xfId="4" applyNumberFormat="1" applyFont="1" applyFill="1" applyAlignment="1">
      <alignment horizontal="right" vertical="center"/>
    </xf>
    <xf numFmtId="167" fontId="23" fillId="0" borderId="0" xfId="2" applyNumberFormat="1" applyFill="1" applyAlignment="1">
      <alignment horizontal="right" vertical="center"/>
    </xf>
    <xf numFmtId="0" fontId="29" fillId="0" borderId="0" xfId="2" applyFont="1" applyFill="1" applyBorder="1" applyAlignment="1">
      <alignment horizontal="left"/>
    </xf>
    <xf numFmtId="0" fontId="23" fillId="0" borderId="0" xfId="2" applyFill="1" applyBorder="1" applyAlignment="1">
      <alignment horizontal="left"/>
    </xf>
    <xf numFmtId="164" fontId="23" fillId="0" borderId="0" xfId="2" applyNumberFormat="1" applyFill="1" applyAlignment="1">
      <alignment horizontal="center" vertical="center"/>
    </xf>
    <xf numFmtId="0" fontId="23" fillId="0" borderId="0" xfId="2" applyFill="1" applyBorder="1" applyAlignment="1">
      <alignment horizontal="center" vertical="center"/>
    </xf>
    <xf numFmtId="0" fontId="27" fillId="0" borderId="0" xfId="2" applyFont="1" applyFill="1" applyAlignment="1">
      <alignment horizontal="left" vertical="center"/>
    </xf>
    <xf numFmtId="0" fontId="23" fillId="0" borderId="0" xfId="2" applyFill="1" applyAlignment="1">
      <alignment horizontal="center" vertical="center"/>
    </xf>
    <xf numFmtId="167" fontId="27" fillId="0" borderId="17" xfId="2" applyNumberFormat="1" applyFont="1" applyFill="1" applyBorder="1" applyAlignment="1">
      <alignment horizontal="center" vertical="center"/>
    </xf>
    <xf numFmtId="167" fontId="27" fillId="0" borderId="0" xfId="2" applyNumberFormat="1" applyFont="1" applyFill="1" applyAlignment="1">
      <alignment horizontal="right" vertical="center"/>
    </xf>
    <xf numFmtId="9" fontId="27" fillId="0" borderId="0" xfId="8" applyNumberFormat="1" applyFont="1" applyFill="1" applyBorder="1" applyAlignment="1">
      <alignment horizontal="right" vertical="center"/>
    </xf>
    <xf numFmtId="167" fontId="23" fillId="0" borderId="0" xfId="2" applyNumberFormat="1" applyFill="1" applyBorder="1" applyAlignment="1">
      <alignment horizontal="right" vertical="center"/>
    </xf>
    <xf numFmtId="164" fontId="23" fillId="0" borderId="0" xfId="2" applyNumberFormat="1" applyFill="1" applyAlignment="1">
      <alignment horizontal="left" vertical="center"/>
    </xf>
    <xf numFmtId="0" fontId="29" fillId="0" borderId="0" xfId="2" applyFont="1" applyFill="1" applyBorder="1" applyAlignment="1">
      <alignment horizontal="center" vertical="center"/>
    </xf>
    <xf numFmtId="0" fontId="23" fillId="0" borderId="0" xfId="2" applyFill="1" applyAlignment="1">
      <alignment horizontal="left" vertical="center"/>
    </xf>
    <xf numFmtId="167" fontId="23" fillId="0" borderId="0" xfId="2" applyNumberFormat="1" applyFill="1" applyAlignment="1">
      <alignment horizontal="center" vertical="center"/>
    </xf>
    <xf numFmtId="167" fontId="30" fillId="0" borderId="0" xfId="2" applyNumberFormat="1" applyFont="1" applyFill="1" applyBorder="1" applyAlignment="1">
      <alignment horizontal="right" vertical="center"/>
    </xf>
    <xf numFmtId="0" fontId="29" fillId="0" borderId="0" xfId="2" applyFont="1" applyFill="1" applyAlignment="1">
      <alignment horizontal="center" vertical="center"/>
    </xf>
    <xf numFmtId="0" fontId="23" fillId="0" borderId="0" xfId="2" applyFont="1" applyFill="1" applyAlignment="1">
      <alignment horizontal="right"/>
    </xf>
    <xf numFmtId="168" fontId="0" fillId="0" borderId="0" xfId="4" applyNumberFormat="1" applyFont="1" applyFill="1" applyAlignment="1">
      <alignment horizontal="right" vertical="center"/>
    </xf>
    <xf numFmtId="0" fontId="27" fillId="0" borderId="0" xfId="2" applyFont="1" applyFill="1" applyAlignment="1"/>
    <xf numFmtId="0" fontId="23" fillId="0" borderId="0" xfId="2" applyFill="1" applyAlignment="1">
      <alignment horizontal="left"/>
    </xf>
    <xf numFmtId="0" fontId="27" fillId="0" borderId="0" xfId="2" applyFont="1" applyFill="1" applyBorder="1" applyAlignment="1">
      <alignment horizontal="left" vertical="center"/>
    </xf>
    <xf numFmtId="0" fontId="23" fillId="0" borderId="0" xfId="2" applyFill="1" applyBorder="1" applyAlignment="1">
      <alignment horizontal="left" vertical="center"/>
    </xf>
    <xf numFmtId="167" fontId="23" fillId="0" borderId="0" xfId="2" applyNumberFormat="1" applyFill="1" applyBorder="1" applyAlignment="1">
      <alignment horizontal="center" vertical="center"/>
    </xf>
    <xf numFmtId="9" fontId="0" fillId="0" borderId="0" xfId="4" applyFont="1" applyFill="1" applyBorder="1" applyAlignment="1">
      <alignment horizontal="right" vertical="center"/>
    </xf>
    <xf numFmtId="0" fontId="27" fillId="0" borderId="0" xfId="2" applyFont="1" applyFill="1" applyBorder="1" applyAlignment="1">
      <alignment horizontal="left"/>
    </xf>
    <xf numFmtId="167" fontId="28" fillId="0" borderId="0" xfId="2" applyNumberFormat="1" applyFont="1" applyFill="1" applyBorder="1" applyAlignment="1">
      <alignment horizontal="center" vertical="center"/>
    </xf>
    <xf numFmtId="9" fontId="23" fillId="0" borderId="0" xfId="4" applyFont="1" applyFill="1" applyBorder="1" applyAlignment="1">
      <alignment horizontal="right" vertical="center"/>
    </xf>
    <xf numFmtId="164" fontId="23" fillId="0" borderId="0" xfId="2" applyNumberFormat="1" applyFill="1" applyAlignment="1">
      <alignment horizontal="center"/>
    </xf>
    <xf numFmtId="0" fontId="23" fillId="0" borderId="0" xfId="2" applyFill="1" applyAlignment="1">
      <alignment horizontal="center"/>
    </xf>
    <xf numFmtId="167" fontId="23" fillId="0" borderId="0" xfId="2" applyNumberFormat="1" applyFont="1" applyFill="1" applyBorder="1" applyAlignment="1">
      <alignment horizontal="center" vertical="center"/>
    </xf>
    <xf numFmtId="167" fontId="23" fillId="0" borderId="0" xfId="2" applyNumberFormat="1" applyFill="1" applyAlignment="1">
      <alignment horizontal="center"/>
    </xf>
    <xf numFmtId="167" fontId="27" fillId="0" borderId="0" xfId="2" applyNumberFormat="1" applyFont="1" applyFill="1" applyBorder="1" applyAlignment="1">
      <alignment horizontal="center"/>
    </xf>
    <xf numFmtId="0" fontId="27" fillId="0" borderId="0" xfId="2" applyFont="1" applyFill="1" applyAlignment="1">
      <alignment horizontal="center" vertical="center"/>
    </xf>
    <xf numFmtId="167" fontId="30" fillId="0" borderId="19" xfId="2" applyNumberFormat="1" applyFont="1" applyFill="1" applyBorder="1" applyAlignment="1">
      <alignment horizontal="center" vertical="center"/>
    </xf>
    <xf numFmtId="167" fontId="23" fillId="0" borderId="0" xfId="2" applyNumberFormat="1" applyFont="1" applyFill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32" fillId="0" borderId="0" xfId="0" applyFont="1" applyBorder="1" applyAlignment="1">
      <alignment vertical="center"/>
    </xf>
    <xf numFmtId="164" fontId="33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0" xfId="0" applyFont="1" applyBorder="1" applyAlignment="1">
      <alignment vertical="center"/>
    </xf>
    <xf numFmtId="0" fontId="33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left" vertical="center" indent="1"/>
    </xf>
    <xf numFmtId="0" fontId="33" fillId="0" borderId="0" xfId="0" applyFont="1" applyAlignment="1">
      <alignment vertical="center"/>
    </xf>
    <xf numFmtId="1" fontId="33" fillId="0" borderId="0" xfId="0" applyNumberFormat="1" applyFont="1" applyAlignment="1">
      <alignment horizontal="center" vertical="center"/>
    </xf>
    <xf numFmtId="0" fontId="34" fillId="0" borderId="0" xfId="0" applyFont="1" applyAlignment="1">
      <alignment vertical="center"/>
    </xf>
    <xf numFmtId="0" fontId="33" fillId="0" borderId="0" xfId="0" applyFont="1" applyBorder="1"/>
    <xf numFmtId="0" fontId="33" fillId="0" borderId="0" xfId="0" applyFont="1" applyAlignment="1">
      <alignment horizontal="left" vertical="center" indent="1"/>
    </xf>
    <xf numFmtId="0" fontId="33" fillId="0" borderId="1" xfId="0" applyFont="1" applyBorder="1" applyAlignment="1">
      <alignment horizontal="left" vertical="center"/>
    </xf>
    <xf numFmtId="1" fontId="33" fillId="0" borderId="0" xfId="0" applyNumberFormat="1" applyFont="1" applyBorder="1" applyAlignment="1">
      <alignment horizontal="center" vertical="center"/>
    </xf>
    <xf numFmtId="0" fontId="33" fillId="0" borderId="0" xfId="0" applyFont="1"/>
    <xf numFmtId="0" fontId="33" fillId="0" borderId="0" xfId="0" applyFont="1" applyAlignment="1">
      <alignment horizontal="center"/>
    </xf>
    <xf numFmtId="0" fontId="34" fillId="0" borderId="0" xfId="0" applyFont="1" applyBorder="1"/>
    <xf numFmtId="0" fontId="34" fillId="0" borderId="0" xfId="0" applyFont="1"/>
    <xf numFmtId="0" fontId="34" fillId="0" borderId="0" xfId="0" applyFont="1" applyBorder="1" applyAlignment="1"/>
    <xf numFmtId="0" fontId="33" fillId="0" borderId="0" xfId="0" applyFont="1" applyBorder="1" applyAlignment="1">
      <alignment horizontal="left" vertical="center"/>
    </xf>
    <xf numFmtId="164" fontId="33" fillId="0" borderId="0" xfId="0" applyNumberFormat="1" applyFont="1" applyBorder="1" applyAlignment="1">
      <alignment horizontal="center" vertical="center"/>
    </xf>
    <xf numFmtId="164" fontId="23" fillId="0" borderId="14" xfId="3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16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23" fillId="0" borderId="9" xfId="3" applyNumberFormat="1" applyFont="1" applyFill="1" applyBorder="1" applyAlignment="1">
      <alignment horizontal="center" vertical="center" wrapText="1"/>
    </xf>
    <xf numFmtId="0" fontId="23" fillId="0" borderId="18" xfId="2" applyFont="1" applyFill="1" applyBorder="1" applyAlignment="1">
      <alignment vertical="center"/>
    </xf>
    <xf numFmtId="164" fontId="23" fillId="0" borderId="9" xfId="3" applyNumberFormat="1" applyFont="1" applyFill="1" applyBorder="1" applyAlignment="1">
      <alignment horizontal="center" vertical="center"/>
    </xf>
    <xf numFmtId="10" fontId="27" fillId="0" borderId="3" xfId="4" applyNumberFormat="1" applyFont="1" applyFill="1" applyBorder="1" applyAlignment="1">
      <alignment horizontal="center" vertical="center"/>
    </xf>
    <xf numFmtId="0" fontId="23" fillId="0" borderId="18" xfId="2" applyFont="1" applyFill="1" applyBorder="1" applyAlignment="1">
      <alignment horizontal="left" vertical="center"/>
    </xf>
    <xf numFmtId="167" fontId="23" fillId="0" borderId="17" xfId="2" quotePrefix="1" applyNumberFormat="1" applyFont="1" applyFill="1" applyBorder="1" applyAlignment="1">
      <alignment horizontal="center" vertical="center"/>
    </xf>
    <xf numFmtId="0" fontId="23" fillId="0" borderId="14" xfId="2" applyFont="1" applyFill="1" applyBorder="1" applyAlignment="1">
      <alignment horizontal="center" vertical="center"/>
    </xf>
    <xf numFmtId="164" fontId="23" fillId="0" borderId="14" xfId="2" applyNumberFormat="1" applyFont="1" applyFill="1" applyBorder="1" applyAlignment="1">
      <alignment horizontal="center" vertical="center"/>
    </xf>
    <xf numFmtId="0" fontId="33" fillId="0" borderId="12" xfId="0" applyFont="1" applyBorder="1" applyAlignment="1">
      <alignment vertical="center"/>
    </xf>
    <xf numFmtId="0" fontId="33" fillId="0" borderId="12" xfId="0" applyFont="1" applyBorder="1" applyAlignment="1">
      <alignment horizontal="center" vertical="center"/>
    </xf>
    <xf numFmtId="0" fontId="33" fillId="0" borderId="2" xfId="0" applyFont="1" applyBorder="1" applyAlignment="1">
      <alignment horizontal="left" vertical="center"/>
    </xf>
    <xf numFmtId="1" fontId="33" fillId="0" borderId="2" xfId="0" applyNumberFormat="1" applyFont="1" applyBorder="1" applyAlignment="1">
      <alignment horizontal="center" vertical="center"/>
    </xf>
    <xf numFmtId="0" fontId="34" fillId="0" borderId="0" xfId="0" applyFont="1" applyBorder="1" applyAlignment="1">
      <alignment vertical="center"/>
    </xf>
    <xf numFmtId="0" fontId="18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35" fillId="0" borderId="0" xfId="0" applyFont="1"/>
    <xf numFmtId="0" fontId="36" fillId="0" borderId="0" xfId="0" applyFont="1" applyBorder="1" applyAlignment="1">
      <alignment horizontal="left" vertical="center"/>
    </xf>
    <xf numFmtId="0" fontId="36" fillId="0" borderId="0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164" fontId="35" fillId="0" borderId="0" xfId="0" applyNumberFormat="1" applyFont="1" applyAlignment="1">
      <alignment horizontal="center" vertical="center"/>
    </xf>
    <xf numFmtId="0" fontId="35" fillId="0" borderId="0" xfId="0" applyFont="1" applyBorder="1" applyAlignment="1">
      <alignment vertical="center"/>
    </xf>
    <xf numFmtId="0" fontId="35" fillId="0" borderId="0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1" fontId="35" fillId="0" borderId="0" xfId="0" applyNumberFormat="1" applyFont="1" applyAlignment="1">
      <alignment horizontal="center" vertical="center"/>
    </xf>
    <xf numFmtId="0" fontId="36" fillId="0" borderId="3" xfId="0" applyFont="1" applyBorder="1" applyAlignment="1">
      <alignment vertical="center"/>
    </xf>
    <xf numFmtId="0" fontId="35" fillId="0" borderId="0" xfId="0" applyFont="1" applyBorder="1" applyAlignment="1">
      <alignment horizontal="left" vertical="center"/>
    </xf>
    <xf numFmtId="3" fontId="35" fillId="0" borderId="0" xfId="0" applyNumberFormat="1" applyFont="1" applyBorder="1" applyAlignment="1">
      <alignment horizontal="center" vertical="center"/>
    </xf>
    <xf numFmtId="3" fontId="37" fillId="0" borderId="0" xfId="0" applyNumberFormat="1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3" fillId="0" borderId="12" xfId="0" applyFont="1" applyBorder="1" applyAlignment="1">
      <alignment horizontal="left" vertical="center"/>
    </xf>
    <xf numFmtId="0" fontId="23" fillId="0" borderId="0" xfId="2" applyFont="1" applyFill="1" applyBorder="1" applyAlignment="1">
      <alignment horizontal="left" vertical="center"/>
    </xf>
    <xf numFmtId="164" fontId="23" fillId="0" borderId="14" xfId="3" applyNumberFormat="1" applyFont="1" applyFill="1" applyBorder="1" applyAlignment="1">
      <alignment horizontal="center" vertical="top"/>
    </xf>
    <xf numFmtId="10" fontId="23" fillId="0" borderId="15" xfId="4" applyNumberFormat="1" applyFont="1" applyFill="1" applyBorder="1" applyAlignment="1">
      <alignment horizontal="center" vertical="center"/>
    </xf>
    <xf numFmtId="0" fontId="37" fillId="0" borderId="0" xfId="3" applyFont="1" applyFill="1" applyBorder="1" applyAlignment="1">
      <alignment horizontal="center"/>
    </xf>
    <xf numFmtId="0" fontId="39" fillId="0" borderId="0" xfId="3" applyFont="1" applyBorder="1" applyAlignment="1">
      <alignment horizontal="center"/>
    </xf>
    <xf numFmtId="0" fontId="37" fillId="0" borderId="0" xfId="3" applyFont="1" applyBorder="1"/>
    <xf numFmtId="164" fontId="37" fillId="0" borderId="0" xfId="3" applyNumberFormat="1" applyFont="1" applyBorder="1" applyAlignment="1">
      <alignment horizontal="center"/>
    </xf>
    <xf numFmtId="164" fontId="37" fillId="0" borderId="3" xfId="3" applyNumberFormat="1" applyFont="1" applyBorder="1" applyAlignment="1">
      <alignment horizontal="center" wrapText="1"/>
    </xf>
    <xf numFmtId="0" fontId="37" fillId="0" borderId="0" xfId="9" applyFont="1"/>
    <xf numFmtId="0" fontId="37" fillId="0" borderId="0" xfId="3" applyFont="1" applyFill="1" applyBorder="1"/>
    <xf numFmtId="0" fontId="33" fillId="0" borderId="0" xfId="0" applyFont="1" applyBorder="1" applyAlignment="1">
      <alignment horizontal="center" vertical="center"/>
    </xf>
    <xf numFmtId="0" fontId="37" fillId="0" borderId="21" xfId="3" applyNumberFormat="1" applyFont="1" applyBorder="1" applyAlignment="1">
      <alignment horizontal="center"/>
    </xf>
    <xf numFmtId="0" fontId="37" fillId="0" borderId="12" xfId="3" applyFont="1" applyFill="1" applyBorder="1" applyAlignment="1">
      <alignment horizontal="left"/>
    </xf>
    <xf numFmtId="0" fontId="35" fillId="0" borderId="12" xfId="0" applyFont="1" applyBorder="1" applyAlignment="1">
      <alignment vertical="center"/>
    </xf>
    <xf numFmtId="0" fontId="35" fillId="0" borderId="0" xfId="0" applyFont="1" applyBorder="1" applyAlignment="1">
      <alignment horizontal="center" vertical="center"/>
    </xf>
    <xf numFmtId="1" fontId="35" fillId="0" borderId="0" xfId="0" applyNumberFormat="1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5" fillId="0" borderId="0" xfId="0" applyFont="1" applyAlignment="1">
      <alignment horizontal="center"/>
    </xf>
    <xf numFmtId="2" fontId="37" fillId="0" borderId="0" xfId="3" applyNumberFormat="1" applyFont="1" applyFill="1" applyBorder="1" applyAlignment="1">
      <alignment horizontal="center"/>
    </xf>
    <xf numFmtId="169" fontId="40" fillId="0" borderId="0" xfId="3" applyNumberFormat="1" applyFont="1" applyFill="1" applyBorder="1" applyAlignment="1">
      <alignment horizontal="center"/>
    </xf>
    <xf numFmtId="170" fontId="41" fillId="0" borderId="0" xfId="3" applyNumberFormat="1" applyFont="1" applyFill="1" applyBorder="1" applyAlignment="1">
      <alignment horizontal="center"/>
    </xf>
    <xf numFmtId="169" fontId="42" fillId="0" borderId="0" xfId="3" applyNumberFormat="1" applyFont="1" applyFill="1" applyBorder="1" applyAlignment="1">
      <alignment horizontal="center"/>
    </xf>
    <xf numFmtId="169" fontId="41" fillId="0" borderId="0" xfId="3" applyNumberFormat="1" applyFont="1" applyFill="1" applyBorder="1" applyAlignment="1">
      <alignment horizontal="center"/>
    </xf>
    <xf numFmtId="170" fontId="37" fillId="0" borderId="0" xfId="3" applyNumberFormat="1" applyFont="1" applyFill="1" applyBorder="1" applyAlignment="1">
      <alignment horizontal="center"/>
    </xf>
    <xf numFmtId="169" fontId="37" fillId="0" borderId="0" xfId="3" applyNumberFormat="1" applyFont="1" applyFill="1" applyBorder="1" applyAlignment="1">
      <alignment horizontal="center"/>
    </xf>
    <xf numFmtId="0" fontId="39" fillId="0" borderId="0" xfId="3" applyNumberFormat="1" applyFont="1" applyFill="1" applyBorder="1" applyAlignment="1">
      <alignment horizontal="center"/>
    </xf>
    <xf numFmtId="0" fontId="37" fillId="0" borderId="0" xfId="3" applyNumberFormat="1" applyFont="1" applyFill="1" applyBorder="1" applyAlignment="1">
      <alignment horizontal="left"/>
    </xf>
    <xf numFmtId="0" fontId="37" fillId="0" borderId="0" xfId="3" applyFont="1" applyFill="1" applyBorder="1" applyAlignment="1"/>
    <xf numFmtId="170" fontId="37" fillId="0" borderId="0" xfId="3" applyNumberFormat="1" applyFont="1" applyFill="1" applyBorder="1" applyAlignment="1">
      <alignment horizontal="left"/>
    </xf>
    <xf numFmtId="0" fontId="41" fillId="0" borderId="0" xfId="3" applyFont="1" applyFill="1" applyBorder="1" applyAlignment="1">
      <alignment horizontal="center"/>
    </xf>
    <xf numFmtId="0" fontId="37" fillId="0" borderId="5" xfId="3" applyFont="1" applyFill="1" applyBorder="1"/>
    <xf numFmtId="0" fontId="37" fillId="0" borderId="3" xfId="3" applyFont="1" applyFill="1" applyBorder="1"/>
    <xf numFmtId="171" fontId="37" fillId="0" borderId="0" xfId="3" applyNumberFormat="1" applyFont="1" applyFill="1" applyBorder="1" applyAlignment="1">
      <alignment horizontal="center"/>
    </xf>
    <xf numFmtId="171" fontId="37" fillId="0" borderId="0" xfId="3" applyNumberFormat="1" applyFont="1" applyFill="1" applyBorder="1" applyAlignment="1">
      <alignment horizontal="center" vertical="top"/>
    </xf>
    <xf numFmtId="169" fontId="37" fillId="0" borderId="0" xfId="3" applyNumberFormat="1" applyFont="1" applyFill="1" applyBorder="1" applyAlignment="1">
      <alignment horizontal="center" vertical="top"/>
    </xf>
    <xf numFmtId="169" fontId="37" fillId="0" borderId="0" xfId="3" applyNumberFormat="1" applyFont="1" applyFill="1" applyBorder="1" applyAlignment="1">
      <alignment horizontal="left" vertical="top" wrapText="1"/>
    </xf>
    <xf numFmtId="0" fontId="39" fillId="0" borderId="0" xfId="3" applyFont="1" applyFill="1" applyBorder="1" applyAlignment="1">
      <alignment horizontal="center"/>
    </xf>
    <xf numFmtId="0" fontId="33" fillId="0" borderId="0" xfId="0" applyFont="1" applyBorder="1" applyAlignment="1">
      <alignment horizontal="left" vertical="center" indent="5"/>
    </xf>
    <xf numFmtId="0" fontId="43" fillId="0" borderId="0" xfId="0" applyFont="1" applyAlignment="1">
      <alignment vertical="center"/>
    </xf>
    <xf numFmtId="0" fontId="35" fillId="0" borderId="0" xfId="0" applyFont="1" applyBorder="1"/>
    <xf numFmtId="0" fontId="35" fillId="0" borderId="0" xfId="0" applyFont="1" applyBorder="1" applyAlignment="1">
      <alignment horizontal="left" vertical="center" indent="5"/>
    </xf>
    <xf numFmtId="0" fontId="35" fillId="0" borderId="0" xfId="0" applyFont="1" applyBorder="1" applyAlignment="1">
      <alignment vertical="center"/>
    </xf>
    <xf numFmtId="164" fontId="35" fillId="0" borderId="0" xfId="0" applyNumberFormat="1" applyFont="1" applyBorder="1" applyAlignment="1">
      <alignment horizontal="center"/>
    </xf>
    <xf numFmtId="164" fontId="35" fillId="0" borderId="0" xfId="0" applyNumberFormat="1" applyFont="1" applyAlignment="1">
      <alignment horizontal="center"/>
    </xf>
    <xf numFmtId="172" fontId="35" fillId="0" borderId="0" xfId="0" applyNumberFormat="1" applyFont="1" applyAlignment="1">
      <alignment horizontal="center" vertical="center"/>
    </xf>
    <xf numFmtId="2" fontId="35" fillId="0" borderId="0" xfId="0" applyNumberFormat="1" applyFont="1" applyBorder="1" applyAlignment="1">
      <alignment horizontal="center" vertical="center"/>
    </xf>
    <xf numFmtId="4" fontId="23" fillId="0" borderId="15" xfId="2" applyNumberFormat="1" applyFont="1" applyFill="1" applyBorder="1" applyAlignment="1">
      <alignment horizontal="center" vertical="center"/>
    </xf>
    <xf numFmtId="164" fontId="23" fillId="0" borderId="0" xfId="3" applyNumberFormat="1" applyFont="1" applyFill="1" applyBorder="1" applyAlignment="1">
      <alignment horizontal="center" vertical="center"/>
    </xf>
    <xf numFmtId="0" fontId="8" fillId="0" borderId="0" xfId="0" applyFont="1" applyFill="1"/>
    <xf numFmtId="0" fontId="8" fillId="0" borderId="0" xfId="0" applyFont="1" applyFill="1" applyBorder="1"/>
    <xf numFmtId="0" fontId="0" fillId="0" borderId="0" xfId="0" applyFill="1" applyBorder="1"/>
    <xf numFmtId="0" fontId="0" fillId="0" borderId="0" xfId="0" applyFill="1"/>
    <xf numFmtId="0" fontId="35" fillId="0" borderId="1" xfId="0" applyFont="1" applyBorder="1" applyAlignment="1">
      <alignment vertical="center"/>
    </xf>
    <xf numFmtId="0" fontId="34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left"/>
    </xf>
    <xf numFmtId="164" fontId="23" fillId="0" borderId="0" xfId="3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33" fillId="0" borderId="0" xfId="0" applyFont="1" applyBorder="1" applyAlignment="1">
      <alignment horizontal="center" vertical="center"/>
    </xf>
    <xf numFmtId="164" fontId="35" fillId="0" borderId="0" xfId="0" applyNumberFormat="1" applyFont="1" applyBorder="1" applyAlignment="1">
      <alignment horizontal="center" vertical="center"/>
    </xf>
    <xf numFmtId="164" fontId="23" fillId="0" borderId="22" xfId="3" applyNumberFormat="1" applyFont="1" applyFill="1" applyBorder="1" applyAlignment="1">
      <alignment horizontal="center" vertical="top"/>
    </xf>
    <xf numFmtId="0" fontId="23" fillId="0" borderId="23" xfId="2" applyFont="1" applyFill="1" applyBorder="1" applyAlignment="1">
      <alignment horizontal="left" vertical="center"/>
    </xf>
    <xf numFmtId="3" fontId="23" fillId="0" borderId="23" xfId="2" applyNumberFormat="1" applyFont="1" applyFill="1" applyBorder="1" applyAlignment="1">
      <alignment horizontal="center" vertical="center"/>
    </xf>
    <xf numFmtId="0" fontId="23" fillId="0" borderId="23" xfId="2" applyFont="1" applyFill="1" applyBorder="1" applyAlignment="1">
      <alignment horizontal="center" vertical="center"/>
    </xf>
    <xf numFmtId="167" fontId="23" fillId="0" borderId="23" xfId="2" applyNumberFormat="1" applyFont="1" applyFill="1" applyBorder="1" applyAlignment="1">
      <alignment horizontal="center" vertical="center"/>
    </xf>
    <xf numFmtId="0" fontId="23" fillId="0" borderId="20" xfId="2" applyFont="1" applyFill="1" applyBorder="1"/>
    <xf numFmtId="3" fontId="23" fillId="0" borderId="0" xfId="2" applyNumberFormat="1" applyFont="1" applyFill="1" applyBorder="1" applyAlignment="1">
      <alignment horizontal="center" vertical="center"/>
    </xf>
    <xf numFmtId="1" fontId="34" fillId="0" borderId="0" xfId="0" applyNumberFormat="1" applyFont="1" applyAlignment="1">
      <alignment horizontal="center"/>
    </xf>
    <xf numFmtId="0" fontId="35" fillId="0" borderId="3" xfId="0" applyFont="1" applyBorder="1" applyAlignment="1">
      <alignment horizontal="left" vertical="center"/>
    </xf>
    <xf numFmtId="49" fontId="35" fillId="0" borderId="0" xfId="0" applyNumberFormat="1" applyFont="1" applyBorder="1" applyAlignment="1">
      <alignment horizontal="center" vertical="center" wrapText="1"/>
    </xf>
    <xf numFmtId="166" fontId="35" fillId="0" borderId="0" xfId="0" applyNumberFormat="1" applyFont="1" applyBorder="1" applyAlignment="1">
      <alignment horizontal="center" vertical="center"/>
    </xf>
    <xf numFmtId="16" fontId="35" fillId="0" borderId="0" xfId="0" applyNumberFormat="1" applyFont="1" applyBorder="1" applyAlignment="1">
      <alignment horizontal="center" vertical="center" wrapText="1"/>
    </xf>
    <xf numFmtId="166" fontId="35" fillId="0" borderId="0" xfId="0" applyNumberFormat="1" applyFont="1" applyBorder="1"/>
    <xf numFmtId="0" fontId="23" fillId="0" borderId="0" xfId="2"/>
    <xf numFmtId="0" fontId="44" fillId="0" borderId="0" xfId="2" applyFont="1" applyAlignment="1">
      <alignment horizontal="center"/>
    </xf>
    <xf numFmtId="0" fontId="23" fillId="0" borderId="0" xfId="2" applyAlignment="1">
      <alignment horizontal="center"/>
    </xf>
    <xf numFmtId="164" fontId="37" fillId="0" borderId="0" xfId="2" applyNumberFormat="1" applyFont="1" applyAlignment="1">
      <alignment horizontal="center" vertical="top"/>
    </xf>
    <xf numFmtId="0" fontId="37" fillId="0" borderId="0" xfId="2" applyFont="1" applyAlignment="1">
      <alignment horizontal="center"/>
    </xf>
    <xf numFmtId="164" fontId="37" fillId="0" borderId="0" xfId="2" applyNumberFormat="1" applyFont="1" applyAlignment="1">
      <alignment horizontal="center" vertical="top" wrapText="1"/>
    </xf>
    <xf numFmtId="164" fontId="37" fillId="0" borderId="0" xfId="2" applyNumberFormat="1" applyFont="1" applyBorder="1" applyAlignment="1">
      <alignment horizontal="center" vertical="top" wrapText="1"/>
    </xf>
    <xf numFmtId="0" fontId="37" fillId="0" borderId="0" xfId="2" applyFont="1" applyBorder="1" applyAlignment="1">
      <alignment horizontal="center"/>
    </xf>
    <xf numFmtId="0" fontId="37" fillId="0" borderId="0" xfId="2" applyFont="1" applyBorder="1" applyAlignment="1">
      <alignment horizontal="left"/>
    </xf>
    <xf numFmtId="3" fontId="37" fillId="0" borderId="0" xfId="2" applyNumberFormat="1" applyFont="1" applyBorder="1" applyAlignment="1">
      <alignment horizontal="center"/>
    </xf>
    <xf numFmtId="0" fontId="40" fillId="0" borderId="0" xfId="2" applyFont="1" applyAlignment="1">
      <alignment horizontal="left"/>
    </xf>
    <xf numFmtId="0" fontId="40" fillId="0" borderId="0" xfId="2" applyFont="1" applyAlignment="1">
      <alignment horizontal="center"/>
    </xf>
    <xf numFmtId="3" fontId="40" fillId="0" borderId="0" xfId="2" applyNumberFormat="1" applyFont="1" applyAlignment="1">
      <alignment horizontal="center"/>
    </xf>
    <xf numFmtId="169" fontId="40" fillId="0" borderId="0" xfId="2" applyNumberFormat="1" applyFont="1" applyBorder="1" applyAlignment="1">
      <alignment horizontal="center"/>
    </xf>
    <xf numFmtId="169" fontId="40" fillId="0" borderId="0" xfId="2" applyNumberFormat="1" applyFont="1" applyFill="1" applyBorder="1" applyAlignment="1">
      <alignment horizontal="center"/>
    </xf>
    <xf numFmtId="0" fontId="37" fillId="0" borderId="0" xfId="2" applyFont="1" applyAlignment="1">
      <alignment horizontal="left"/>
    </xf>
    <xf numFmtId="0" fontId="37" fillId="0" borderId="0" xfId="2" applyFont="1"/>
    <xf numFmtId="0" fontId="33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16" fontId="45" fillId="0" borderId="0" xfId="10" applyNumberFormat="1" applyBorder="1" applyAlignment="1">
      <alignment horizontal="center" vertical="center" wrapText="1"/>
    </xf>
    <xf numFmtId="2" fontId="35" fillId="5" borderId="0" xfId="0" applyNumberFormat="1" applyFont="1" applyFill="1" applyBorder="1" applyAlignment="1">
      <alignment horizontal="center" vertical="center"/>
    </xf>
    <xf numFmtId="0" fontId="46" fillId="0" borderId="0" xfId="0" applyFont="1"/>
    <xf numFmtId="164" fontId="0" fillId="0" borderId="0" xfId="0" applyNumberFormat="1"/>
    <xf numFmtId="0" fontId="0" fillId="0" borderId="0" xfId="0" applyAlignment="1">
      <alignment horizontal="right"/>
    </xf>
    <xf numFmtId="1" fontId="0" fillId="0" borderId="0" xfId="0" applyNumberFormat="1"/>
    <xf numFmtId="0" fontId="0" fillId="0" borderId="1" xfId="0" applyBorder="1"/>
    <xf numFmtId="164" fontId="33" fillId="0" borderId="0" xfId="0" applyNumberFormat="1" applyFont="1" applyAlignment="1">
      <alignment horizontal="center"/>
    </xf>
    <xf numFmtId="0" fontId="33" fillId="0" borderId="12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1" fontId="33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1" fontId="33" fillId="0" borderId="2" xfId="0" applyNumberFormat="1" applyFont="1" applyBorder="1" applyAlignment="1">
      <alignment horizontal="center"/>
    </xf>
    <xf numFmtId="0" fontId="33" fillId="0" borderId="3" xfId="0" applyFont="1" applyBorder="1" applyAlignment="1">
      <alignment horizontal="left" vertical="center"/>
    </xf>
    <xf numFmtId="0" fontId="33" fillId="0" borderId="3" xfId="0" applyFont="1" applyBorder="1" applyAlignment="1">
      <alignment horizontal="center" vertical="center"/>
    </xf>
    <xf numFmtId="1" fontId="33" fillId="0" borderId="3" xfId="0" applyNumberFormat="1" applyFont="1" applyBorder="1" applyAlignment="1">
      <alignment horizontal="center"/>
    </xf>
    <xf numFmtId="0" fontId="33" fillId="0" borderId="3" xfId="0" applyFont="1" applyBorder="1" applyAlignment="1">
      <alignment vertical="center"/>
    </xf>
    <xf numFmtId="2" fontId="0" fillId="0" borderId="0" xfId="0" applyNumberFormat="1"/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1" fontId="33" fillId="0" borderId="0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1" xfId="0" applyNumberFormat="1" applyBorder="1" applyAlignment="1">
      <alignment horizontal="center"/>
    </xf>
    <xf numFmtId="1" fontId="19" fillId="0" borderId="0" xfId="0" applyNumberFormat="1" applyFont="1" applyAlignment="1">
      <alignment horizontal="center"/>
    </xf>
    <xf numFmtId="1" fontId="33" fillId="0" borderId="12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47" fillId="0" borderId="0" xfId="0" applyFont="1"/>
    <xf numFmtId="0" fontId="0" fillId="0" borderId="2" xfId="0" applyBorder="1" applyAlignment="1">
      <alignment horizontal="center"/>
    </xf>
    <xf numFmtId="0" fontId="0" fillId="0" borderId="2" xfId="0" applyBorder="1"/>
    <xf numFmtId="0" fontId="46" fillId="0" borderId="0" xfId="0" applyFont="1" applyAlignment="1">
      <alignment vertical="center"/>
    </xf>
    <xf numFmtId="0" fontId="12" fillId="0" borderId="0" xfId="0" applyFont="1"/>
    <xf numFmtId="2" fontId="0" fillId="0" borderId="2" xfId="0" applyNumberFormat="1" applyBorder="1"/>
    <xf numFmtId="16" fontId="46" fillId="0" borderId="0" xfId="0" applyNumberFormat="1" applyFont="1" applyBorder="1" applyAlignment="1">
      <alignment horizontal="center" vertical="center" wrapText="1"/>
    </xf>
    <xf numFmtId="0" fontId="48" fillId="0" borderId="0" xfId="0" applyFont="1"/>
    <xf numFmtId="0" fontId="33" fillId="0" borderId="0" xfId="0" applyFont="1" applyFill="1" applyBorder="1" applyAlignment="1">
      <alignment horizontal="left" vertical="center"/>
    </xf>
    <xf numFmtId="0" fontId="33" fillId="0" borderId="24" xfId="0" applyFont="1" applyFill="1" applyBorder="1" applyAlignment="1">
      <alignment horizontal="left" vertical="center"/>
    </xf>
    <xf numFmtId="0" fontId="0" fillId="0" borderId="24" xfId="0" applyBorder="1"/>
    <xf numFmtId="0" fontId="0" fillId="0" borderId="24" xfId="0" applyBorder="1" applyAlignment="1">
      <alignment horizontal="center"/>
    </xf>
    <xf numFmtId="1" fontId="0" fillId="0" borderId="24" xfId="0" applyNumberFormat="1" applyBorder="1" applyAlignment="1">
      <alignment horizontal="center"/>
    </xf>
    <xf numFmtId="0" fontId="49" fillId="0" borderId="0" xfId="0" applyFont="1"/>
    <xf numFmtId="2" fontId="0" fillId="0" borderId="3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Fill="1" applyBorder="1" applyAlignment="1">
      <alignment horizontal="center"/>
    </xf>
    <xf numFmtId="2" fontId="0" fillId="0" borderId="24" xfId="0" applyNumberFormat="1" applyBorder="1"/>
    <xf numFmtId="2" fontId="0" fillId="0" borderId="24" xfId="0" applyNumberFormat="1" applyBorder="1" applyAlignment="1">
      <alignment horizontal="center"/>
    </xf>
    <xf numFmtId="1" fontId="50" fillId="0" borderId="0" xfId="0" applyNumberFormat="1" applyFont="1"/>
    <xf numFmtId="1" fontId="50" fillId="0" borderId="24" xfId="0" applyNumberFormat="1" applyFont="1" applyBorder="1" applyAlignment="1">
      <alignment horizontal="center"/>
    </xf>
    <xf numFmtId="1" fontId="50" fillId="0" borderId="1" xfId="0" applyNumberFormat="1" applyFont="1" applyBorder="1"/>
    <xf numFmtId="1" fontId="50" fillId="0" borderId="0" xfId="0" applyNumberFormat="1" applyFont="1" applyAlignment="1">
      <alignment horizontal="center"/>
    </xf>
    <xf numFmtId="2" fontId="50" fillId="0" borderId="0" xfId="0" applyNumberFormat="1" applyFont="1" applyAlignment="1">
      <alignment horizontal="center"/>
    </xf>
    <xf numFmtId="0" fontId="50" fillId="0" borderId="0" xfId="0" applyFont="1" applyAlignment="1">
      <alignment horizontal="center"/>
    </xf>
    <xf numFmtId="0" fontId="50" fillId="0" borderId="0" xfId="0" applyFont="1" applyBorder="1"/>
    <xf numFmtId="0" fontId="47" fillId="0" borderId="0" xfId="0" applyFont="1" applyBorder="1"/>
    <xf numFmtId="0" fontId="0" fillId="0" borderId="25" xfId="0" applyBorder="1"/>
    <xf numFmtId="0" fontId="0" fillId="0" borderId="25" xfId="0" applyBorder="1" applyAlignment="1">
      <alignment horizontal="center"/>
    </xf>
    <xf numFmtId="2" fontId="37" fillId="0" borderId="0" xfId="3" applyNumberFormat="1" applyFont="1" applyFill="1" applyBorder="1"/>
    <xf numFmtId="2" fontId="49" fillId="0" borderId="0" xfId="0" applyNumberFormat="1" applyFont="1"/>
    <xf numFmtId="0" fontId="49" fillId="0" borderId="0" xfId="0" applyFont="1" applyFill="1" applyBorder="1"/>
    <xf numFmtId="0" fontId="33" fillId="0" borderId="0" xfId="0" applyFont="1" applyBorder="1" applyAlignment="1">
      <alignment horizontal="center" vertical="center"/>
    </xf>
    <xf numFmtId="0" fontId="0" fillId="0" borderId="0" xfId="0" applyAlignment="1"/>
    <xf numFmtId="0" fontId="49" fillId="0" borderId="0" xfId="0" applyFont="1" applyAlignment="1"/>
    <xf numFmtId="0" fontId="51" fillId="0" borderId="0" xfId="0" applyFont="1" applyAlignment="1"/>
    <xf numFmtId="2" fontId="0" fillId="0" borderId="0" xfId="0" applyNumberFormat="1" applyAlignment="1">
      <alignment horizontal="right"/>
    </xf>
    <xf numFmtId="2" fontId="0" fillId="0" borderId="0" xfId="0" applyNumberFormat="1" applyBorder="1"/>
    <xf numFmtId="0" fontId="0" fillId="0" borderId="0" xfId="0" applyBorder="1" applyAlignment="1"/>
    <xf numFmtId="0" fontId="23" fillId="0" borderId="3" xfId="2" applyBorder="1"/>
    <xf numFmtId="0" fontId="33" fillId="0" borderId="0" xfId="0" applyFont="1" applyFill="1" applyBorder="1" applyAlignment="1">
      <alignment horizontal="center" vertical="center"/>
    </xf>
    <xf numFmtId="0" fontId="52" fillId="0" borderId="13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1" fontId="35" fillId="5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1" fontId="0" fillId="0" borderId="0" xfId="0" applyNumberFormat="1" applyBorder="1" applyAlignment="1">
      <alignment horizontal="center"/>
    </xf>
    <xf numFmtId="0" fontId="33" fillId="5" borderId="0" xfId="0" applyFont="1" applyFill="1" applyBorder="1" applyAlignment="1">
      <alignment vertical="center"/>
    </xf>
    <xf numFmtId="3" fontId="33" fillId="5" borderId="0" xfId="0" applyNumberFormat="1" applyFont="1" applyFill="1" applyBorder="1" applyAlignment="1">
      <alignment horizontal="center" vertical="center"/>
    </xf>
    <xf numFmtId="0" fontId="9" fillId="0" borderId="3" xfId="0" applyFont="1" applyBorder="1"/>
    <xf numFmtId="10" fontId="23" fillId="0" borderId="16" xfId="4" applyNumberFormat="1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0" fontId="53" fillId="0" borderId="0" xfId="0" applyFont="1"/>
    <xf numFmtId="0" fontId="53" fillId="0" borderId="0" xfId="0" applyFont="1" applyBorder="1"/>
    <xf numFmtId="0" fontId="51" fillId="0" borderId="0" xfId="0" applyFont="1" applyFill="1" applyBorder="1"/>
    <xf numFmtId="0" fontId="49" fillId="0" borderId="0" xfId="0" applyFont="1" applyBorder="1"/>
    <xf numFmtId="0" fontId="49" fillId="0" borderId="0" xfId="0" applyFont="1" applyBorder="1" applyAlignment="1">
      <alignment horizontal="center"/>
    </xf>
    <xf numFmtId="4" fontId="0" fillId="0" borderId="0" xfId="0" applyNumberFormat="1" applyAlignment="1">
      <alignment horizontal="center"/>
    </xf>
    <xf numFmtId="0" fontId="31" fillId="0" borderId="0" xfId="0" applyFont="1" applyBorder="1" applyAlignment="1">
      <alignment vertical="center"/>
    </xf>
    <xf numFmtId="0" fontId="33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0" fontId="37" fillId="0" borderId="3" xfId="2" applyFont="1" applyBorder="1" applyAlignment="1">
      <alignment horizontal="center"/>
    </xf>
    <xf numFmtId="0" fontId="35" fillId="0" borderId="12" xfId="0" applyFont="1" applyBorder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33" fillId="0" borderId="5" xfId="0" applyFont="1" applyBorder="1" applyAlignment="1">
      <alignment vertical="center"/>
    </xf>
    <xf numFmtId="0" fontId="33" fillId="0" borderId="5" xfId="0" applyFont="1" applyBorder="1" applyAlignment="1">
      <alignment horizontal="center" vertical="center"/>
    </xf>
    <xf numFmtId="0" fontId="34" fillId="0" borderId="5" xfId="0" applyFont="1" applyBorder="1"/>
    <xf numFmtId="0" fontId="35" fillId="0" borderId="5" xfId="0" applyFont="1" applyBorder="1" applyAlignment="1">
      <alignment vertical="center"/>
    </xf>
    <xf numFmtId="0" fontId="35" fillId="0" borderId="5" xfId="0" applyFont="1" applyBorder="1" applyAlignment="1">
      <alignment horizontal="center" vertical="center"/>
    </xf>
    <xf numFmtId="1" fontId="35" fillId="0" borderId="5" xfId="0" applyNumberFormat="1" applyFont="1" applyBorder="1" applyAlignment="1">
      <alignment horizontal="center" vertical="center"/>
    </xf>
    <xf numFmtId="1" fontId="33" fillId="0" borderId="5" xfId="0" applyNumberFormat="1" applyFont="1" applyBorder="1" applyAlignment="1">
      <alignment horizontal="center" vertical="center"/>
    </xf>
    <xf numFmtId="3" fontId="35" fillId="0" borderId="5" xfId="0" applyNumberFormat="1" applyFont="1" applyBorder="1" applyAlignment="1">
      <alignment horizontal="center" vertical="center"/>
    </xf>
    <xf numFmtId="3" fontId="37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35" fillId="0" borderId="0" xfId="0" applyFont="1" applyAlignment="1">
      <alignment horizontal="right"/>
    </xf>
    <xf numFmtId="0" fontId="35" fillId="0" borderId="0" xfId="0" applyFont="1" applyBorder="1" applyAlignment="1">
      <alignment horizontal="right"/>
    </xf>
    <xf numFmtId="0" fontId="35" fillId="0" borderId="0" xfId="0" applyFont="1" applyBorder="1" applyAlignment="1">
      <alignment horizontal="center"/>
    </xf>
    <xf numFmtId="0" fontId="35" fillId="0" borderId="0" xfId="0" applyFont="1" applyAlignment="1"/>
    <xf numFmtId="0" fontId="35" fillId="0" borderId="0" xfId="0" applyFont="1" applyBorder="1" applyAlignment="1"/>
    <xf numFmtId="0" fontId="35" fillId="0" borderId="5" xfId="0" applyFont="1" applyBorder="1" applyAlignment="1"/>
    <xf numFmtId="0" fontId="0" fillId="0" borderId="5" xfId="0" applyBorder="1"/>
    <xf numFmtId="2" fontId="35" fillId="0" borderId="5" xfId="0" applyNumberFormat="1" applyFont="1" applyBorder="1" applyAlignment="1">
      <alignment horizontal="center" vertical="center"/>
    </xf>
    <xf numFmtId="0" fontId="33" fillId="0" borderId="5" xfId="0" applyFont="1" applyBorder="1" applyAlignment="1">
      <alignment horizontal="left" vertical="center"/>
    </xf>
    <xf numFmtId="0" fontId="37" fillId="0" borderId="0" xfId="2" applyFont="1" applyFill="1" applyBorder="1" applyAlignment="1">
      <alignment horizontal="center"/>
    </xf>
    <xf numFmtId="169" fontId="37" fillId="0" borderId="0" xfId="2" applyNumberFormat="1" applyFont="1" applyBorder="1" applyAlignment="1">
      <alignment horizontal="center"/>
    </xf>
    <xf numFmtId="0" fontId="37" fillId="0" borderId="3" xfId="2" applyFont="1" applyBorder="1" applyAlignment="1">
      <alignment horizontal="left"/>
    </xf>
    <xf numFmtId="3" fontId="37" fillId="0" borderId="3" xfId="2" applyNumberFormat="1" applyFont="1" applyBorder="1" applyAlignment="1">
      <alignment horizontal="center"/>
    </xf>
    <xf numFmtId="169" fontId="37" fillId="0" borderId="3" xfId="2" applyNumberFormat="1" applyFont="1" applyBorder="1" applyAlignment="1">
      <alignment horizontal="center"/>
    </xf>
    <xf numFmtId="169" fontId="37" fillId="0" borderId="3" xfId="2" applyNumberFormat="1" applyFont="1" applyFill="1" applyBorder="1" applyAlignment="1">
      <alignment horizontal="center"/>
    </xf>
    <xf numFmtId="169" fontId="37" fillId="0" borderId="0" xfId="2" applyNumberFormat="1" applyFont="1" applyBorder="1" applyAlignment="1">
      <alignment horizontal="center"/>
    </xf>
    <xf numFmtId="3" fontId="33" fillId="0" borderId="5" xfId="0" applyNumberFormat="1" applyFont="1" applyBorder="1" applyAlignment="1">
      <alignment horizontal="center" vertical="center"/>
    </xf>
    <xf numFmtId="0" fontId="33" fillId="0" borderId="5" xfId="0" applyFont="1" applyFill="1" applyBorder="1" applyAlignment="1">
      <alignment horizontal="left" vertical="center"/>
    </xf>
    <xf numFmtId="0" fontId="35" fillId="0" borderId="5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7" fillId="0" borderId="0" xfId="0" applyFont="1" applyAlignment="1">
      <alignment horizontal="center"/>
    </xf>
    <xf numFmtId="173" fontId="0" fillId="0" borderId="0" xfId="0" applyNumberFormat="1" applyAlignment="1">
      <alignment horizontal="center"/>
    </xf>
    <xf numFmtId="173" fontId="0" fillId="0" borderId="1" xfId="0" applyNumberForma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37" fillId="0" borderId="13" xfId="2" applyFont="1" applyBorder="1" applyAlignment="1">
      <alignment horizontal="center"/>
    </xf>
    <xf numFmtId="0" fontId="37" fillId="0" borderId="13" xfId="2" applyFont="1" applyFill="1" applyBorder="1" applyAlignment="1">
      <alignment horizontal="center"/>
    </xf>
    <xf numFmtId="3" fontId="37" fillId="5" borderId="0" xfId="2" applyNumberFormat="1" applyFont="1" applyFill="1" applyBorder="1" applyAlignment="1">
      <alignment horizontal="center"/>
    </xf>
    <xf numFmtId="169" fontId="37" fillId="5" borderId="0" xfId="2" applyNumberFormat="1" applyFont="1" applyFill="1" applyBorder="1" applyAlignment="1">
      <alignment horizontal="center"/>
    </xf>
    <xf numFmtId="169" fontId="37" fillId="5" borderId="0" xfId="2" applyNumberFormat="1" applyFont="1" applyFill="1" applyAlignment="1">
      <alignment horizontal="center"/>
    </xf>
    <xf numFmtId="169" fontId="37" fillId="5" borderId="0" xfId="2" quotePrefix="1" applyNumberFormat="1" applyFont="1" applyFill="1" applyBorder="1" applyAlignment="1">
      <alignment horizontal="center"/>
    </xf>
    <xf numFmtId="0" fontId="23" fillId="0" borderId="0" xfId="2" applyFont="1"/>
    <xf numFmtId="0" fontId="17" fillId="6" borderId="0" xfId="0" applyFont="1" applyFill="1" applyBorder="1" applyAlignment="1">
      <alignment horizontal="center" vertical="center"/>
    </xf>
    <xf numFmtId="1" fontId="17" fillId="6" borderId="0" xfId="0" applyNumberFormat="1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172" fontId="35" fillId="5" borderId="0" xfId="0" applyNumberFormat="1" applyFont="1" applyFill="1" applyBorder="1" applyAlignment="1">
      <alignment horizontal="center" vertical="center"/>
    </xf>
    <xf numFmtId="172" fontId="35" fillId="0" borderId="5" xfId="0" applyNumberFormat="1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43" fillId="0" borderId="0" xfId="0" applyFont="1" applyBorder="1" applyAlignment="1"/>
    <xf numFmtId="0" fontId="43" fillId="0" borderId="0" xfId="0" applyFont="1" applyAlignment="1"/>
    <xf numFmtId="1" fontId="35" fillId="0" borderId="0" xfId="0" applyNumberFormat="1" applyFont="1" applyAlignment="1">
      <alignment horizontal="right"/>
    </xf>
    <xf numFmtId="1" fontId="35" fillId="0" borderId="5" xfId="0" applyNumberFormat="1" applyFont="1" applyBorder="1" applyAlignment="1">
      <alignment horizontal="right"/>
    </xf>
    <xf numFmtId="3" fontId="33" fillId="0" borderId="5" xfId="0" applyNumberFormat="1" applyFont="1" applyBorder="1" applyAlignment="1">
      <alignment horizontal="center"/>
    </xf>
    <xf numFmtId="3" fontId="33" fillId="0" borderId="0" xfId="0" applyNumberFormat="1" applyFont="1" applyBorder="1" applyAlignment="1">
      <alignment horizontal="center"/>
    </xf>
    <xf numFmtId="3" fontId="33" fillId="0" borderId="0" xfId="0" applyNumberFormat="1" applyFont="1" applyBorder="1" applyAlignment="1">
      <alignment horizontal="center" vertical="center"/>
    </xf>
    <xf numFmtId="3" fontId="35" fillId="0" borderId="0" xfId="0" applyNumberFormat="1" applyFont="1" applyAlignment="1">
      <alignment horizontal="right"/>
    </xf>
    <xf numFmtId="3" fontId="35" fillId="0" borderId="5" xfId="0" applyNumberFormat="1" applyFont="1" applyBorder="1" applyAlignment="1">
      <alignment horizontal="right"/>
    </xf>
    <xf numFmtId="167" fontId="23" fillId="0" borderId="20" xfId="2" quotePrefix="1" applyNumberFormat="1" applyFont="1" applyFill="1" applyBorder="1" applyAlignment="1">
      <alignment horizontal="center" vertical="center"/>
    </xf>
    <xf numFmtId="167" fontId="27" fillId="0" borderId="0" xfId="2" applyNumberFormat="1" applyFont="1" applyFill="1" applyBorder="1" applyAlignment="1">
      <alignment horizontal="center" vertical="center"/>
    </xf>
    <xf numFmtId="164" fontId="23" fillId="0" borderId="0" xfId="3" applyNumberFormat="1" applyFont="1" applyFill="1" applyBorder="1" applyAlignment="1">
      <alignment horizontal="center" vertical="top"/>
    </xf>
    <xf numFmtId="167" fontId="23" fillId="0" borderId="0" xfId="2" quotePrefix="1" applyNumberFormat="1" applyFont="1" applyFill="1" applyBorder="1" applyAlignment="1">
      <alignment horizontal="center" vertical="center"/>
    </xf>
    <xf numFmtId="10" fontId="23" fillId="0" borderId="0" xfId="4" applyNumberFormat="1" applyFont="1" applyFill="1" applyBorder="1" applyAlignment="1">
      <alignment horizontal="center" vertical="center"/>
    </xf>
    <xf numFmtId="0" fontId="23" fillId="0" borderId="0" xfId="2" applyFont="1" applyFill="1" applyBorder="1"/>
    <xf numFmtId="164" fontId="23" fillId="0" borderId="4" xfId="3" applyNumberFormat="1" applyFont="1" applyFill="1" applyBorder="1" applyAlignment="1">
      <alignment horizontal="center" vertical="top"/>
    </xf>
    <xf numFmtId="0" fontId="23" fillId="0" borderId="5" xfId="2" applyFont="1" applyFill="1" applyBorder="1" applyAlignment="1">
      <alignment horizontal="left" vertical="center"/>
    </xf>
    <xf numFmtId="0" fontId="23" fillId="0" borderId="5" xfId="2" applyFont="1" applyFill="1" applyBorder="1" applyAlignment="1">
      <alignment horizontal="center" vertical="center"/>
    </xf>
    <xf numFmtId="167" fontId="23" fillId="0" borderId="5" xfId="2" applyNumberFormat="1" applyFont="1" applyFill="1" applyBorder="1" applyAlignment="1">
      <alignment horizontal="center" vertical="center"/>
    </xf>
    <xf numFmtId="167" fontId="23" fillId="0" borderId="11" xfId="2" applyNumberFormat="1" applyFont="1" applyFill="1" applyBorder="1" applyAlignment="1">
      <alignment horizontal="center" vertical="center"/>
    </xf>
    <xf numFmtId="10" fontId="23" fillId="0" borderId="5" xfId="4" applyNumberFormat="1" applyFont="1" applyFill="1" applyBorder="1" applyAlignment="1">
      <alignment horizontal="center" vertical="center"/>
    </xf>
    <xf numFmtId="0" fontId="23" fillId="0" borderId="11" xfId="2" applyFont="1" applyFill="1" applyBorder="1"/>
    <xf numFmtId="10" fontId="23" fillId="0" borderId="20" xfId="4" applyNumberFormat="1" applyFont="1" applyFill="1" applyBorder="1" applyAlignment="1">
      <alignment horizontal="center" vertical="center"/>
    </xf>
    <xf numFmtId="0" fontId="23" fillId="0" borderId="18" xfId="2" applyFont="1" applyFill="1" applyBorder="1" applyAlignment="1">
      <alignment horizontal="left" vertical="center" wrapText="1"/>
    </xf>
    <xf numFmtId="167" fontId="23" fillId="0" borderId="11" xfId="2" quotePrefix="1" applyNumberFormat="1" applyFont="1" applyFill="1" applyBorder="1" applyAlignment="1">
      <alignment horizontal="center" vertical="center"/>
    </xf>
    <xf numFmtId="0" fontId="23" fillId="0" borderId="17" xfId="2" applyFont="1" applyFill="1" applyBorder="1" applyAlignment="1">
      <alignment wrapText="1"/>
    </xf>
    <xf numFmtId="0" fontId="23" fillId="0" borderId="18" xfId="2" applyFont="1" applyFill="1" applyBorder="1" applyAlignment="1">
      <alignment wrapText="1"/>
    </xf>
    <xf numFmtId="0" fontId="23" fillId="0" borderId="11" xfId="2" applyFont="1" applyFill="1" applyBorder="1" applyAlignment="1">
      <alignment wrapText="1"/>
    </xf>
    <xf numFmtId="164" fontId="23" fillId="0" borderId="4" xfId="3" applyNumberFormat="1" applyFont="1" applyFill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164" fontId="35" fillId="0" borderId="0" xfId="0" applyNumberFormat="1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35" fillId="0" borderId="12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1" fontId="35" fillId="0" borderId="5" xfId="0" applyNumberFormat="1" applyFont="1" applyFill="1" applyBorder="1" applyAlignment="1">
      <alignment horizontal="center" vertical="center"/>
    </xf>
    <xf numFmtId="0" fontId="35" fillId="8" borderId="0" xfId="0" applyFont="1" applyFill="1"/>
    <xf numFmtId="0" fontId="35" fillId="8" borderId="0" xfId="0" applyFont="1" applyFill="1" applyBorder="1"/>
    <xf numFmtId="0" fontId="35" fillId="8" borderId="0" xfId="0" applyFont="1" applyFill="1" applyAlignment="1">
      <alignment horizontal="left" vertical="center"/>
    </xf>
    <xf numFmtId="164" fontId="35" fillId="8" borderId="0" xfId="0" applyNumberFormat="1" applyFont="1" applyFill="1" applyAlignment="1">
      <alignment horizontal="center" vertical="center"/>
    </xf>
    <xf numFmtId="0" fontId="35" fillId="8" borderId="12" xfId="0" applyFont="1" applyFill="1" applyBorder="1" applyAlignment="1">
      <alignment vertical="center"/>
    </xf>
    <xf numFmtId="0" fontId="35" fillId="8" borderId="12" xfId="0" applyFont="1" applyFill="1" applyBorder="1" applyAlignment="1">
      <alignment horizontal="center" vertical="center"/>
    </xf>
    <xf numFmtId="0" fontId="35" fillId="8" borderId="0" xfId="0" applyFont="1" applyFill="1" applyBorder="1" applyAlignment="1">
      <alignment vertical="center"/>
    </xf>
    <xf numFmtId="0" fontId="35" fillId="8" borderId="0" xfId="0" applyFont="1" applyFill="1" applyBorder="1" applyAlignment="1">
      <alignment horizontal="left" indent="7"/>
    </xf>
    <xf numFmtId="0" fontId="35" fillId="8" borderId="0" xfId="0" applyFont="1" applyFill="1" applyAlignment="1">
      <alignment vertical="center"/>
    </xf>
    <xf numFmtId="0" fontId="35" fillId="8" borderId="0" xfId="0" applyFont="1" applyFill="1" applyAlignment="1">
      <alignment horizontal="left" vertical="center" indent="1"/>
    </xf>
    <xf numFmtId="0" fontId="35" fillId="8" borderId="0" xfId="0" applyFont="1" applyFill="1" applyBorder="1" applyAlignment="1">
      <alignment horizontal="left" vertical="center" indent="7"/>
    </xf>
    <xf numFmtId="0" fontId="33" fillId="8" borderId="0" xfId="0" applyFont="1" applyFill="1" applyBorder="1" applyAlignment="1">
      <alignment vertical="center"/>
    </xf>
    <xf numFmtId="0" fontId="35" fillId="8" borderId="0" xfId="0" applyFont="1" applyFill="1" applyAlignment="1">
      <alignment horizontal="center"/>
    </xf>
    <xf numFmtId="1" fontId="35" fillId="8" borderId="0" xfId="0" applyNumberFormat="1" applyFont="1" applyFill="1" applyBorder="1" applyAlignment="1">
      <alignment horizontal="center" vertical="center"/>
    </xf>
    <xf numFmtId="0" fontId="0" fillId="8" borderId="0" xfId="0" applyFill="1" applyAlignment="1">
      <alignment horizontal="center"/>
    </xf>
    <xf numFmtId="0" fontId="33" fillId="8" borderId="3" xfId="0" applyFont="1" applyFill="1" applyBorder="1" applyAlignment="1">
      <alignment horizontal="left" vertical="center"/>
    </xf>
    <xf numFmtId="0" fontId="33" fillId="8" borderId="0" xfId="0" applyFont="1" applyFill="1" applyAlignment="1">
      <alignment horizontal="left" vertical="center"/>
    </xf>
    <xf numFmtId="0" fontId="0" fillId="8" borderId="0" xfId="0" applyFill="1" applyBorder="1"/>
    <xf numFmtId="0" fontId="33" fillId="8" borderId="0" xfId="0" applyFont="1" applyFill="1" applyBorder="1" applyAlignment="1">
      <alignment horizontal="left" vertical="center"/>
    </xf>
    <xf numFmtId="0" fontId="35" fillId="8" borderId="0" xfId="0" applyFont="1" applyFill="1" applyBorder="1" applyAlignment="1">
      <alignment horizontal="center"/>
    </xf>
    <xf numFmtId="0" fontId="33" fillId="8" borderId="5" xfId="0" applyFont="1" applyFill="1" applyBorder="1" applyAlignment="1">
      <alignment horizontal="left" vertical="center"/>
    </xf>
    <xf numFmtId="0" fontId="35" fillId="8" borderId="5" xfId="0" applyFont="1" applyFill="1" applyBorder="1" applyAlignment="1">
      <alignment horizontal="center"/>
    </xf>
    <xf numFmtId="0" fontId="0" fillId="8" borderId="5" xfId="0" applyFill="1" applyBorder="1"/>
    <xf numFmtId="0" fontId="0" fillId="8" borderId="0" xfId="0" applyFill="1"/>
    <xf numFmtId="0" fontId="35" fillId="0" borderId="0" xfId="0" applyFont="1" applyFill="1"/>
    <xf numFmtId="0" fontId="35" fillId="0" borderId="0" xfId="0" applyFont="1" applyFill="1" applyBorder="1"/>
    <xf numFmtId="0" fontId="35" fillId="0" borderId="0" xfId="0" applyFont="1" applyFill="1" applyAlignment="1">
      <alignment horizontal="left" vertical="center"/>
    </xf>
    <xf numFmtId="164" fontId="35" fillId="0" borderId="0" xfId="0" applyNumberFormat="1" applyFont="1" applyFill="1" applyAlignment="1">
      <alignment horizontal="center" vertical="center"/>
    </xf>
    <xf numFmtId="0" fontId="35" fillId="0" borderId="12" xfId="0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horizontal="left" indent="7"/>
    </xf>
    <xf numFmtId="0" fontId="35" fillId="0" borderId="0" xfId="0" applyFont="1" applyFill="1" applyAlignment="1">
      <alignment vertical="center"/>
    </xf>
    <xf numFmtId="0" fontId="33" fillId="0" borderId="0" xfId="0" applyFont="1" applyFill="1" applyBorder="1" applyAlignment="1">
      <alignment vertical="center"/>
    </xf>
    <xf numFmtId="0" fontId="35" fillId="0" borderId="0" xfId="0" applyFont="1" applyFill="1" applyAlignment="1">
      <alignment horizontal="center"/>
    </xf>
    <xf numFmtId="1" fontId="35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0" fillId="0" borderId="5" xfId="0" applyFill="1" applyBorder="1"/>
    <xf numFmtId="0" fontId="12" fillId="0" borderId="0" xfId="0" applyFont="1" applyBorder="1" applyAlignment="1">
      <alignment horizontal="left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/>
    </xf>
    <xf numFmtId="1" fontId="35" fillId="0" borderId="0" xfId="0" applyNumberFormat="1" applyFont="1" applyFill="1" applyAlignment="1">
      <alignment horizontal="center" vertical="center"/>
    </xf>
    <xf numFmtId="1" fontId="35" fillId="0" borderId="5" xfId="0" applyNumberFormat="1" applyFont="1" applyFill="1" applyBorder="1" applyAlignment="1">
      <alignment horizontal="center"/>
    </xf>
    <xf numFmtId="0" fontId="35" fillId="0" borderId="0" xfId="0" applyFont="1" applyBorder="1" applyAlignment="1">
      <alignment vertical="center"/>
    </xf>
    <xf numFmtId="164" fontId="33" fillId="0" borderId="0" xfId="0" applyNumberFormat="1" applyFont="1" applyBorder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42" fillId="0" borderId="0" xfId="3" applyFont="1" applyFill="1" applyBorder="1"/>
    <xf numFmtId="0" fontId="35" fillId="0" borderId="0" xfId="0" applyFont="1" applyFill="1" applyBorder="1" applyAlignment="1">
      <alignment vertical="center" wrapText="1"/>
    </xf>
    <xf numFmtId="16" fontId="35" fillId="0" borderId="0" xfId="0" applyNumberFormat="1" applyFont="1" applyBorder="1" applyAlignment="1">
      <alignment horizontal="left" vertical="center" wrapText="1"/>
    </xf>
    <xf numFmtId="16" fontId="35" fillId="0" borderId="0" xfId="0" applyNumberFormat="1" applyFont="1" applyBorder="1" applyAlignment="1">
      <alignment horizontal="left" vertical="center"/>
    </xf>
    <xf numFmtId="0" fontId="38" fillId="0" borderId="3" xfId="0" applyFont="1" applyBorder="1" applyAlignment="1">
      <alignment vertical="center"/>
    </xf>
    <xf numFmtId="0" fontId="35" fillId="0" borderId="0" xfId="0" quotePrefix="1" applyFont="1" applyBorder="1" applyAlignment="1">
      <alignment horizontal="center" vertical="center"/>
    </xf>
    <xf numFmtId="3" fontId="35" fillId="0" borderId="0" xfId="0" quotePrefix="1" applyNumberFormat="1" applyFont="1" applyBorder="1" applyAlignment="1">
      <alignment horizontal="center" vertical="center"/>
    </xf>
    <xf numFmtId="3" fontId="37" fillId="0" borderId="0" xfId="0" quotePrefix="1" applyNumberFormat="1" applyFont="1" applyBorder="1" applyAlignment="1">
      <alignment horizontal="center" vertical="center"/>
    </xf>
    <xf numFmtId="0" fontId="33" fillId="0" borderId="0" xfId="0" quotePrefix="1" applyFont="1" applyBorder="1" applyAlignment="1">
      <alignment horizontal="center" vertical="center"/>
    </xf>
    <xf numFmtId="1" fontId="33" fillId="0" borderId="0" xfId="0" quotePrefix="1" applyNumberFormat="1" applyFont="1" applyBorder="1" applyAlignment="1">
      <alignment horizontal="center" vertical="center"/>
    </xf>
    <xf numFmtId="0" fontId="33" fillId="0" borderId="0" xfId="0" applyFont="1" applyBorder="1" applyAlignment="1">
      <alignment horizontal="left" vertical="center" wrapText="1"/>
    </xf>
    <xf numFmtId="1" fontId="33" fillId="0" borderId="5" xfId="0" applyNumberFormat="1" applyFont="1" applyBorder="1" applyAlignment="1">
      <alignment horizontal="center"/>
    </xf>
    <xf numFmtId="0" fontId="23" fillId="0" borderId="17" xfId="2" applyFont="1" applyFill="1" applyBorder="1" applyAlignment="1">
      <alignment vertical="center"/>
    </xf>
    <xf numFmtId="10" fontId="23" fillId="0" borderId="26" xfId="4" applyNumberFormat="1" applyFont="1" applyFill="1" applyBorder="1" applyAlignment="1">
      <alignment horizontal="center" vertical="center"/>
    </xf>
    <xf numFmtId="0" fontId="23" fillId="0" borderId="18" xfId="2" applyFont="1" applyFill="1" applyBorder="1" applyAlignment="1">
      <alignment vertical="center" wrapText="1"/>
    </xf>
    <xf numFmtId="0" fontId="23" fillId="0" borderId="17" xfId="2" applyFont="1" applyFill="1" applyBorder="1" applyAlignment="1">
      <alignment vertical="center" wrapText="1"/>
    </xf>
    <xf numFmtId="0" fontId="27" fillId="0" borderId="12" xfId="2" applyFont="1" applyFill="1" applyBorder="1" applyAlignment="1">
      <alignment horizontal="center" wrapText="1"/>
    </xf>
    <xf numFmtId="167" fontId="27" fillId="0" borderId="12" xfId="2" applyNumberFormat="1" applyFont="1" applyFill="1" applyBorder="1" applyAlignment="1">
      <alignment horizontal="center" wrapText="1"/>
    </xf>
    <xf numFmtId="49" fontId="23" fillId="0" borderId="0" xfId="2" applyNumberFormat="1" applyFill="1" applyBorder="1" applyAlignment="1">
      <alignment horizontal="center"/>
    </xf>
    <xf numFmtId="14" fontId="23" fillId="0" borderId="0" xfId="2" applyNumberFormat="1" applyFill="1" applyBorder="1" applyAlignment="1">
      <alignment horizontal="center"/>
    </xf>
    <xf numFmtId="49" fontId="23" fillId="0" borderId="0" xfId="2" applyNumberFormat="1" applyFont="1" applyFill="1" applyBorder="1" applyAlignment="1">
      <alignment horizontal="center"/>
    </xf>
    <xf numFmtId="0" fontId="23" fillId="0" borderId="0" xfId="2" applyFont="1" applyFill="1" applyBorder="1" applyAlignment="1">
      <alignment horizontal="center"/>
    </xf>
    <xf numFmtId="167" fontId="23" fillId="0" borderId="0" xfId="2" applyNumberFormat="1" applyFill="1" applyBorder="1" applyAlignment="1">
      <alignment horizontal="left"/>
    </xf>
    <xf numFmtId="0" fontId="23" fillId="0" borderId="26" xfId="2" applyFont="1" applyFill="1" applyBorder="1" applyAlignment="1">
      <alignment vertical="center" wrapText="1"/>
    </xf>
    <xf numFmtId="0" fontId="29" fillId="0" borderId="4" xfId="2" applyFont="1" applyFill="1" applyBorder="1" applyAlignment="1">
      <alignment horizontal="left"/>
    </xf>
    <xf numFmtId="0" fontId="23" fillId="0" borderId="5" xfId="2" applyFill="1" applyBorder="1" applyAlignment="1">
      <alignment horizontal="center"/>
    </xf>
    <xf numFmtId="167" fontId="23" fillId="0" borderId="5" xfId="2" applyNumberFormat="1" applyFill="1" applyBorder="1" applyAlignment="1">
      <alignment horizontal="center"/>
    </xf>
    <xf numFmtId="167" fontId="23" fillId="0" borderId="6" xfId="2" applyNumberFormat="1" applyFill="1" applyBorder="1" applyAlignment="1">
      <alignment horizontal="center"/>
    </xf>
    <xf numFmtId="14" fontId="23" fillId="0" borderId="7" xfId="2" applyNumberFormat="1" applyFill="1" applyBorder="1" applyAlignment="1">
      <alignment horizontal="center"/>
    </xf>
    <xf numFmtId="167" fontId="23" fillId="0" borderId="8" xfId="2" applyNumberFormat="1" applyFill="1" applyBorder="1" applyAlignment="1">
      <alignment horizontal="center"/>
    </xf>
    <xf numFmtId="14" fontId="23" fillId="0" borderId="9" xfId="2" applyNumberFormat="1" applyFill="1" applyBorder="1" applyAlignment="1">
      <alignment horizontal="center"/>
    </xf>
    <xf numFmtId="49" fontId="23" fillId="0" borderId="3" xfId="2" applyNumberFormat="1" applyFont="1" applyFill="1" applyBorder="1" applyAlignment="1">
      <alignment horizontal="center"/>
    </xf>
    <xf numFmtId="0" fontId="23" fillId="0" borderId="3" xfId="2" applyFont="1" applyFill="1" applyBorder="1" applyAlignment="1">
      <alignment horizontal="center"/>
    </xf>
    <xf numFmtId="0" fontId="23" fillId="0" borderId="3" xfId="2" applyFill="1" applyBorder="1" applyAlignment="1">
      <alignment horizontal="center"/>
    </xf>
    <xf numFmtId="167" fontId="23" fillId="0" borderId="3" xfId="2" applyNumberFormat="1" applyFill="1" applyBorder="1" applyAlignment="1">
      <alignment horizontal="left"/>
    </xf>
    <xf numFmtId="0" fontId="27" fillId="0" borderId="10" xfId="2" applyFont="1" applyFill="1" applyBorder="1" applyAlignment="1">
      <alignment horizontal="center"/>
    </xf>
    <xf numFmtId="167" fontId="27" fillId="0" borderId="12" xfId="2" applyNumberFormat="1" applyFont="1" applyFill="1" applyBorder="1" applyAlignment="1">
      <alignment horizontal="center" wrapText="1"/>
    </xf>
    <xf numFmtId="167" fontId="28" fillId="0" borderId="5" xfId="2" applyNumberFormat="1" applyFont="1" applyFill="1" applyBorder="1" applyAlignment="1">
      <alignment horizontal="center" vertical="center"/>
    </xf>
    <xf numFmtId="167" fontId="28" fillId="0" borderId="15" xfId="2" applyNumberFormat="1" applyFont="1" applyFill="1" applyBorder="1" applyAlignment="1">
      <alignment horizontal="center" vertical="center"/>
    </xf>
    <xf numFmtId="0" fontId="27" fillId="7" borderId="12" xfId="2" applyFont="1" applyFill="1" applyBorder="1" applyAlignment="1">
      <alignment horizontal="center" wrapText="1"/>
    </xf>
    <xf numFmtId="167" fontId="30" fillId="0" borderId="0" xfId="2" applyNumberFormat="1" applyFont="1" applyFill="1" applyBorder="1" applyAlignment="1">
      <alignment horizontal="center" vertical="center"/>
    </xf>
    <xf numFmtId="167" fontId="23" fillId="0" borderId="27" xfId="2" applyNumberFormat="1" applyFont="1" applyFill="1" applyBorder="1" applyAlignment="1">
      <alignment horizontal="center" vertical="center"/>
    </xf>
    <xf numFmtId="167" fontId="23" fillId="0" borderId="28" xfId="2" applyNumberFormat="1" applyFont="1" applyFill="1" applyBorder="1" applyAlignment="1">
      <alignment horizontal="center" vertical="center"/>
    </xf>
    <xf numFmtId="167" fontId="23" fillId="0" borderId="28" xfId="2" quotePrefix="1" applyNumberFormat="1" applyFont="1" applyFill="1" applyBorder="1" applyAlignment="1">
      <alignment horizontal="center" vertical="center"/>
    </xf>
    <xf numFmtId="167" fontId="23" fillId="0" borderId="29" xfId="2" quotePrefix="1" applyNumberFormat="1" applyFont="1" applyFill="1" applyBorder="1" applyAlignment="1">
      <alignment horizontal="center" vertical="center"/>
    </xf>
    <xf numFmtId="167" fontId="23" fillId="0" borderId="30" xfId="2" quotePrefix="1" applyNumberFormat="1" applyFont="1" applyFill="1" applyBorder="1" applyAlignment="1">
      <alignment horizontal="center" vertical="center"/>
    </xf>
    <xf numFmtId="167" fontId="27" fillId="7" borderId="12" xfId="2" applyNumberFormat="1" applyFont="1" applyFill="1" applyBorder="1" applyAlignment="1">
      <alignment horizontal="center" wrapText="1"/>
    </xf>
    <xf numFmtId="10" fontId="23" fillId="0" borderId="15" xfId="2" applyNumberFormat="1" applyFont="1" applyFill="1" applyBorder="1" applyAlignment="1">
      <alignment horizontal="center" vertical="center"/>
    </xf>
    <xf numFmtId="10" fontId="23" fillId="0" borderId="31" xfId="2" applyNumberFormat="1" applyFont="1" applyFill="1" applyBorder="1" applyAlignment="1">
      <alignment horizontal="center" vertical="center"/>
    </xf>
    <xf numFmtId="167" fontId="23" fillId="7" borderId="26" xfId="2" applyNumberFormat="1" applyFont="1" applyFill="1" applyBorder="1" applyAlignment="1">
      <alignment horizontal="center" vertical="center"/>
    </xf>
    <xf numFmtId="167" fontId="23" fillId="7" borderId="17" xfId="2" applyNumberFormat="1" applyFont="1" applyFill="1" applyBorder="1" applyAlignment="1">
      <alignment horizontal="center" vertical="center"/>
    </xf>
    <xf numFmtId="167" fontId="23" fillId="7" borderId="11" xfId="2" applyNumberFormat="1" applyFont="1" applyFill="1" applyBorder="1" applyAlignment="1">
      <alignment horizontal="center" vertical="center"/>
    </xf>
    <xf numFmtId="167" fontId="23" fillId="7" borderId="20" xfId="2" applyNumberFormat="1" applyFont="1" applyFill="1" applyBorder="1" applyAlignment="1">
      <alignment horizontal="center" vertical="center"/>
    </xf>
    <xf numFmtId="167" fontId="27" fillId="7" borderId="17" xfId="2" applyNumberFormat="1" applyFont="1" applyFill="1" applyBorder="1" applyAlignment="1">
      <alignment horizontal="center" vertical="center"/>
    </xf>
    <xf numFmtId="0" fontId="5" fillId="0" borderId="0" xfId="0" applyFont="1" applyFill="1"/>
    <xf numFmtId="164" fontId="35" fillId="0" borderId="0" xfId="0" applyNumberFormat="1" applyFont="1" applyFill="1" applyAlignment="1">
      <alignment horizontal="center"/>
    </xf>
    <xf numFmtId="2" fontId="35" fillId="0" borderId="0" xfId="0" applyNumberFormat="1" applyFont="1" applyFill="1" applyBorder="1" applyAlignment="1">
      <alignment horizontal="center" vertical="center"/>
    </xf>
    <xf numFmtId="2" fontId="35" fillId="0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164" fontId="35" fillId="0" borderId="0" xfId="0" applyNumberFormat="1" applyFont="1" applyFill="1" applyBorder="1" applyAlignment="1">
      <alignment horizontal="center"/>
    </xf>
    <xf numFmtId="3" fontId="26" fillId="0" borderId="0" xfId="2" applyNumberFormat="1" applyFont="1" applyFill="1" applyBorder="1" applyAlignment="1">
      <alignment horizontal="left" vertical="top" wrapText="1"/>
    </xf>
    <xf numFmtId="167" fontId="27" fillId="0" borderId="0" xfId="2" applyNumberFormat="1" applyFont="1" applyFill="1" applyBorder="1" applyAlignment="1">
      <alignment horizontal="center" wrapText="1"/>
    </xf>
    <xf numFmtId="167" fontId="27" fillId="0" borderId="12" xfId="2" applyNumberFormat="1" applyFont="1" applyFill="1" applyBorder="1" applyAlignment="1">
      <alignment horizontal="center" wrapText="1"/>
    </xf>
    <xf numFmtId="167" fontId="23" fillId="0" borderId="0" xfId="2" applyNumberFormat="1" applyFill="1" applyBorder="1" applyAlignment="1">
      <alignment horizontal="left" wrapText="1"/>
    </xf>
    <xf numFmtId="0" fontId="33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/>
    </xf>
    <xf numFmtId="0" fontId="27" fillId="0" borderId="3" xfId="3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38" fillId="0" borderId="3" xfId="0" applyFont="1" applyBorder="1" applyAlignment="1">
      <alignment horizontal="left" vertical="center"/>
    </xf>
    <xf numFmtId="0" fontId="0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64" fontId="33" fillId="0" borderId="3" xfId="0" applyNumberFormat="1" applyFont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wrapText="1"/>
    </xf>
    <xf numFmtId="0" fontId="33" fillId="0" borderId="0" xfId="0" applyFont="1" applyBorder="1" applyAlignment="1">
      <alignment horizontal="left"/>
    </xf>
    <xf numFmtId="164" fontId="37" fillId="0" borderId="0" xfId="2" applyNumberFormat="1" applyFont="1" applyFill="1" applyAlignment="1">
      <alignment horizontal="center" vertical="top"/>
    </xf>
    <xf numFmtId="164" fontId="37" fillId="0" borderId="0" xfId="2" applyNumberFormat="1" applyFont="1" applyFill="1" applyAlignment="1">
      <alignment horizontal="center" wrapText="1"/>
    </xf>
    <xf numFmtId="164" fontId="37" fillId="0" borderId="3" xfId="2" applyNumberFormat="1" applyFont="1" applyFill="1" applyBorder="1" applyAlignment="1">
      <alignment horizontal="center" wrapText="1"/>
    </xf>
    <xf numFmtId="169" fontId="37" fillId="0" borderId="0" xfId="2" applyNumberFormat="1" applyFont="1" applyFill="1" applyBorder="1" applyAlignment="1">
      <alignment horizontal="center"/>
    </xf>
    <xf numFmtId="0" fontId="27" fillId="0" borderId="3" xfId="2" applyFont="1" applyBorder="1" applyAlignment="1">
      <alignment horizontal="left"/>
    </xf>
    <xf numFmtId="164" fontId="37" fillId="0" borderId="0" xfId="2" applyNumberFormat="1" applyFont="1" applyAlignment="1">
      <alignment horizontal="center" vertical="top"/>
    </xf>
    <xf numFmtId="169" fontId="37" fillId="0" borderId="0" xfId="2" applyNumberFormat="1" applyFont="1" applyBorder="1" applyAlignment="1">
      <alignment horizontal="center"/>
    </xf>
    <xf numFmtId="0" fontId="37" fillId="0" borderId="3" xfId="2" applyFont="1" applyBorder="1" applyAlignment="1">
      <alignment horizontal="center"/>
    </xf>
    <xf numFmtId="164" fontId="37" fillId="0" borderId="0" xfId="2" applyNumberFormat="1" applyFont="1" applyAlignment="1">
      <alignment horizontal="center" wrapText="1"/>
    </xf>
    <xf numFmtId="164" fontId="37" fillId="0" borderId="3" xfId="2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164" fontId="3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1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8" fillId="8" borderId="3" xfId="0" applyFont="1" applyFill="1" applyBorder="1" applyAlignment="1">
      <alignment horizontal="left" vertical="center"/>
    </xf>
    <xf numFmtId="0" fontId="0" fillId="0" borderId="0" xfId="0" applyAlignment="1">
      <alignment horizontal="center" wrapText="1"/>
    </xf>
    <xf numFmtId="0" fontId="38" fillId="0" borderId="3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</cellXfs>
  <cellStyles count="11">
    <cellStyle name="Currency 2" xfId="7" xr:uid="{151FBF4E-AAFA-4F44-BFD8-45D792E2E2D1}"/>
    <cellStyle name="Explanatory Text" xfId="1" builtinId="53" customBuiltin="1"/>
    <cellStyle name="Good 2" xfId="5" xr:uid="{A19F8237-FA01-4932-8FB2-A91C724D2A1A}"/>
    <cellStyle name="Hyperlink" xfId="10" builtinId="8"/>
    <cellStyle name="Normal" xfId="0" builtinId="0"/>
    <cellStyle name="Normal 2" xfId="3" xr:uid="{156F7E28-7D60-412E-AFB8-DA4E55574525}"/>
    <cellStyle name="Normal 3" xfId="6" xr:uid="{2BF34C27-E555-4C48-B527-AA462163BB73}"/>
    <cellStyle name="Normal 4" xfId="2" xr:uid="{F25927DB-0A7B-486D-8373-8C604BAC3272}"/>
    <cellStyle name="Normal 5" xfId="9" xr:uid="{27A74E39-0D34-48F5-9D8A-F90E65DE035D}"/>
    <cellStyle name="Percent 2" xfId="4" xr:uid="{D8D0FC0C-235C-45DC-822D-25954414476A}"/>
    <cellStyle name="Percent 3" xfId="8" xr:uid="{63A9706B-E3AD-4058-BA30-A0EC6C5407FC}"/>
  </cellStyles>
  <dxfs count="28">
    <dxf>
      <font>
        <strike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</dxf>
    <dxf>
      <font>
        <strike val="0"/>
      </font>
    </dxf>
    <dxf>
      <font>
        <color rgb="FF9C0006"/>
      </font>
      <fill>
        <patternFill>
          <bgColor rgb="FFFFC7CE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8B8B8B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4F6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R/x</c:v>
          </c:tx>
          <c:spPr>
            <a:ln w="19080">
              <a:noFill/>
            </a:ln>
          </c:spPr>
          <c:marker>
            <c:symbol val="square"/>
            <c:size val="5"/>
            <c:spPr>
              <a:solidFill>
                <a:srgbClr val="99CCFF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6480">
                <a:solidFill>
                  <a:srgbClr val="000000"/>
                </a:solidFill>
                <a:round/>
              </a:ln>
            </c:spPr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Sheet1!$A$3:$A$7</c:f>
              <c:numCache>
                <c:formatCode>General</c:formatCode>
                <c:ptCount val="5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</c:numCache>
            </c:numRef>
          </c:xVal>
          <c:yVal>
            <c:numRef>
              <c:f>Sheet1!$D$3:$D$7</c:f>
              <c:numCache>
                <c:formatCode>General</c:formatCode>
                <c:ptCount val="5"/>
                <c:pt idx="0">
                  <c:v>3.2542372881355934</c:v>
                </c:pt>
                <c:pt idx="1">
                  <c:v>3.7597911227154044</c:v>
                </c:pt>
                <c:pt idx="2">
                  <c:v>4.2384105960264904</c:v>
                </c:pt>
                <c:pt idx="3">
                  <c:v>4.6601941747572821</c:v>
                </c:pt>
                <c:pt idx="4">
                  <c:v>5.0615114235500878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FE-4630-AF79-BC7BC274AA9E}"/>
            </c:ext>
          </c:extLst>
        </c:ser>
        <c:ser>
          <c:idx val="1"/>
          <c:order val="1"/>
          <c:tx>
            <c:v>R/y</c:v>
          </c:tx>
          <c:spPr>
            <a:ln w="19080">
              <a:noFill/>
            </a:ln>
          </c:spPr>
          <c:marker>
            <c:symbol val="square"/>
            <c:size val="5"/>
            <c:spPr>
              <a:solidFill>
                <a:srgbClr val="99CCFF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6480">
                <a:solidFill>
                  <a:srgbClr val="000000"/>
                </a:solidFill>
                <a:round/>
              </a:ln>
            </c:spPr>
            <c:trendlineType val="poly"/>
            <c:order val="3"/>
            <c:dispRSqr val="1"/>
            <c:dispEq val="1"/>
            <c:trendlineLbl>
              <c:numFmt formatCode="General" sourceLinked="0"/>
            </c:trendlineLbl>
          </c:trendline>
          <c:xVal>
            <c:numRef>
              <c:f>Sheet1!$A$3:$A$7</c:f>
              <c:numCache>
                <c:formatCode>General</c:formatCode>
                <c:ptCount val="5"/>
                <c:pt idx="0">
                  <c:v>20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60</c:v>
                </c:pt>
              </c:numCache>
            </c:numRef>
          </c:xVal>
          <c:yVal>
            <c:numRef>
              <c:f>Sheet1!$F$3:$F$7</c:f>
              <c:numCache>
                <c:formatCode>General</c:formatCode>
                <c:ptCount val="5"/>
                <c:pt idx="0">
                  <c:v>7.6800000000000006</c:v>
                </c:pt>
                <c:pt idx="1">
                  <c:v>6.4</c:v>
                </c:pt>
                <c:pt idx="2">
                  <c:v>6.2337662337662332</c:v>
                </c:pt>
                <c:pt idx="3">
                  <c:v>6.2992125984251972</c:v>
                </c:pt>
                <c:pt idx="4">
                  <c:v>6.4573991031390134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3FE-4630-AF79-BC7BC274A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454915"/>
        <c:axId val="10035008"/>
      </c:scatterChart>
      <c:valAx>
        <c:axId val="41454915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10035008"/>
        <c:crosses val="autoZero"/>
        <c:crossBetween val="midCat"/>
      </c:valAx>
      <c:valAx>
        <c:axId val="10035008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en-US"/>
          </a:p>
        </c:txPr>
        <c:crossAx val="41454915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r"/>
      <c:overlay val="0"/>
      <c:spPr>
        <a:noFill/>
        <a:ln>
          <a:noFill/>
        </a:ln>
      </c:spPr>
    </c:legend>
    <c:plotVisOnly val="1"/>
    <c:dispBlanksAs val="gap"/>
    <c:showDLblsOverMax val="1"/>
  </c:chart>
  <c:spPr>
    <a:solidFill>
      <a:srgbClr val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76320</xdr:colOff>
      <xdr:row>14</xdr:row>
      <xdr:rowOff>142920</xdr:rowOff>
    </xdr:from>
    <xdr:to>
      <xdr:col>24</xdr:col>
      <xdr:colOff>37080</xdr:colOff>
      <xdr:row>35</xdr:row>
      <xdr:rowOff>132480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AR-SVR-20\Madison\Design\Projects\SW\USH_14_STH_138\55670002%20STH%20138_USH%2014\Miscellaneous%20EW%20Quantities%20PS&amp;E\DONE\5567-00-72%20MQ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ry.ihde\Desktop\Quantities_GLC&amp;FD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e"/>
      <sheetName val="Bid Items 2011"/>
      <sheetName val="201 clear &amp; grub"/>
      <sheetName val="203 Pipe Culverts"/>
      <sheetName val="204 remove asph surface"/>
      <sheetName val="204 butt joints"/>
      <sheetName val="204 inlets"/>
      <sheetName val="204.0245"/>
      <sheetName val="REMOVING PAVEMENT"/>
      <sheetName val="204.0165"/>
      <sheetName val="205.0400"/>
      <sheetName val="214.0100"/>
      <sheetName val="BASE AGGREGATE &amp; SELECT CRUSHED"/>
      <sheetName val="SELECT CRUSHED CALCS"/>
      <sheetName val="BREAKER RUN"/>
      <sheetName val="CONCRETE ITEMS"/>
      <sheetName val="HMA"/>
      <sheetName val="465 ASPHALT SURFACES"/>
      <sheetName val="465 ASPHALTIC RUMBLE STRIP"/>
      <sheetName val="465 ASPH FLUME"/>
      <sheetName val="522 driveway culverts"/>
      <sheetName val="522 culverts"/>
      <sheetName val="522 aew"/>
      <sheetName val="604 SLOPE PAVING"/>
      <sheetName val="606 RIPRAP"/>
      <sheetName val="608 ss"/>
      <sheetName val="611 SS"/>
      <sheetName val="611 ADJUST INLET COVERS"/>
      <sheetName val="612 UNDERDRAIN"/>
      <sheetName val="614 BEAM GUARD"/>
      <sheetName val="616 FENCE"/>
      <sheetName val="620 CONC MEDIAN NOSES"/>
      <sheetName val="624.0100 WATER"/>
      <sheetName val="625-630 finishing items"/>
      <sheetName val="628 EROSION CONTROL"/>
      <sheetName val="628 TRACKING PADS"/>
      <sheetName val="628 MOB EC"/>
      <sheetName val="SILT FENCE"/>
      <sheetName val="632 PLANTINGS"/>
      <sheetName val="633.5100 MARKERS ROW"/>
      <sheetName val="637 Type I Signs"/>
      <sheetName val="637 Type II Signs"/>
      <sheetName val="638 Removing Signs"/>
      <sheetName val="638 Moving Signs"/>
      <sheetName val="643 traffic control"/>
      <sheetName val="643 trailblazing"/>
      <sheetName val="646 REMOVE PAV MRK"/>
      <sheetName val="PM-1"/>
      <sheetName val="PM-2"/>
      <sheetName val="650 Construction Staking"/>
      <sheetName val="650.4000"/>
      <sheetName val="650.5500"/>
      <sheetName val="650 stake culverts"/>
      <sheetName val="650 STAKING STRUCTURES"/>
      <sheetName val="652 CONDUIT"/>
      <sheetName val="653 PB"/>
      <sheetName val="654 CABINET"/>
      <sheetName val="655 WIRE"/>
      <sheetName val="657 LTG"/>
      <sheetName val="659 UNDRDECK"/>
      <sheetName val="690 SAWCUTTING"/>
      <sheetName val="SPV.0060.06"/>
      <sheetName val="SPV.0180.03 GEOGRID"/>
      <sheetName val="SPV BARK MULCH"/>
      <sheetName val="Sheet3"/>
      <sheetName val="Sheet1"/>
    </sheetNames>
    <sheetDataSet>
      <sheetData sheetId="0" refreshError="1"/>
      <sheetData sheetId="1" refreshError="1">
        <row r="3">
          <cell r="A3">
            <v>108.43</v>
          </cell>
          <cell r="B3" t="str">
            <v>RBC Progress Schedule</v>
          </cell>
          <cell r="C3" t="str">
            <v>EACH</v>
          </cell>
        </row>
        <row r="4">
          <cell r="A4">
            <v>108.44</v>
          </cell>
          <cell r="B4" t="str">
            <v xml:space="preserve">CPM Progress Schedule </v>
          </cell>
          <cell r="C4" t="str">
            <v>EACH</v>
          </cell>
        </row>
        <row r="5">
          <cell r="A5">
            <v>201.01050000000001</v>
          </cell>
          <cell r="B5" t="str">
            <v>Clearing</v>
          </cell>
          <cell r="C5" t="str">
            <v>STA</v>
          </cell>
        </row>
        <row r="6">
          <cell r="A6">
            <v>201.011</v>
          </cell>
          <cell r="B6" t="str">
            <v>Clearing</v>
          </cell>
          <cell r="C6" t="str">
            <v>SY</v>
          </cell>
        </row>
        <row r="7">
          <cell r="A7">
            <v>201.01150000000001</v>
          </cell>
          <cell r="B7" t="str">
            <v>Clearing</v>
          </cell>
          <cell r="C7" t="str">
            <v>ACRE</v>
          </cell>
        </row>
        <row r="8">
          <cell r="A8">
            <v>201.012</v>
          </cell>
          <cell r="B8" t="str">
            <v>Clearing</v>
          </cell>
          <cell r="C8" t="str">
            <v>ID</v>
          </cell>
        </row>
        <row r="9">
          <cell r="A9">
            <v>201.0205</v>
          </cell>
          <cell r="B9" t="str">
            <v>Grubbing</v>
          </cell>
          <cell r="C9" t="str">
            <v>STA</v>
          </cell>
        </row>
        <row r="10">
          <cell r="A10">
            <v>201.02099999999999</v>
          </cell>
          <cell r="B10" t="str">
            <v>Grubbing</v>
          </cell>
          <cell r="C10" t="str">
            <v>SY</v>
          </cell>
        </row>
        <row r="11">
          <cell r="A11">
            <v>201.0215</v>
          </cell>
          <cell r="B11" t="str">
            <v>Grubbing</v>
          </cell>
          <cell r="C11" t="str">
            <v>ACRE</v>
          </cell>
        </row>
        <row r="12">
          <cell r="A12">
            <v>201.02199999999999</v>
          </cell>
          <cell r="B12" t="str">
            <v>Grubbing</v>
          </cell>
          <cell r="C12" t="str">
            <v>ID</v>
          </cell>
        </row>
        <row r="13">
          <cell r="A13">
            <v>202.01050000000001</v>
          </cell>
          <cell r="B13" t="str">
            <v>Roadside Clearing</v>
          </cell>
          <cell r="C13" t="str">
            <v>STA</v>
          </cell>
        </row>
        <row r="14">
          <cell r="A14">
            <v>202.011</v>
          </cell>
          <cell r="B14" t="str">
            <v>Roadside Clearing</v>
          </cell>
          <cell r="C14" t="str">
            <v>SY</v>
          </cell>
        </row>
        <row r="15">
          <cell r="A15">
            <v>202.01150000000001</v>
          </cell>
          <cell r="B15" t="str">
            <v>Roadside Clearing</v>
          </cell>
          <cell r="C15" t="str">
            <v>ACRE</v>
          </cell>
        </row>
        <row r="16">
          <cell r="A16">
            <v>203.01</v>
          </cell>
          <cell r="B16" t="str">
            <v>Removing Small Pipe Culverts</v>
          </cell>
          <cell r="C16" t="str">
            <v>EACH</v>
          </cell>
        </row>
        <row r="17">
          <cell r="A17">
            <v>203.02</v>
          </cell>
          <cell r="B17" t="str">
            <v>Removing Old Structure (station)</v>
          </cell>
          <cell r="C17" t="str">
            <v>LS</v>
          </cell>
        </row>
        <row r="18">
          <cell r="A18">
            <v>204.01</v>
          </cell>
          <cell r="B18" t="str">
            <v>Removing Pavement</v>
          </cell>
          <cell r="C18" t="str">
            <v>SY</v>
          </cell>
        </row>
        <row r="19">
          <cell r="A19">
            <v>204.01050000000001</v>
          </cell>
          <cell r="B19" t="str">
            <v>Removing Pavement Butt Joints</v>
          </cell>
          <cell r="C19" t="str">
            <v>SY</v>
          </cell>
        </row>
        <row r="20">
          <cell r="A20">
            <v>204.011</v>
          </cell>
          <cell r="B20" t="str">
            <v>Removing Asphaltic Surface</v>
          </cell>
          <cell r="C20" t="str">
            <v>SY</v>
          </cell>
        </row>
        <row r="21">
          <cell r="A21">
            <v>204.01150000000001</v>
          </cell>
          <cell r="B21" t="str">
            <v>Removing Asphaltic Surface Butt Joints</v>
          </cell>
          <cell r="C21" t="str">
            <v>SY</v>
          </cell>
        </row>
        <row r="22">
          <cell r="A22">
            <v>204.012</v>
          </cell>
          <cell r="B22" t="str">
            <v>Removing Asphaltic Surface Milling</v>
          </cell>
          <cell r="C22" t="str">
            <v>SY</v>
          </cell>
        </row>
        <row r="23">
          <cell r="A23">
            <v>204.01249999999999</v>
          </cell>
          <cell r="B23" t="str">
            <v>Removing Asphaltic Surface Milling</v>
          </cell>
          <cell r="C23" t="str">
            <v>TON</v>
          </cell>
        </row>
        <row r="24">
          <cell r="A24">
            <v>204.01300000000001</v>
          </cell>
          <cell r="B24" t="str">
            <v>Removing Curb</v>
          </cell>
          <cell r="C24" t="str">
            <v>LF</v>
          </cell>
        </row>
        <row r="25">
          <cell r="A25">
            <v>204.01400000000001</v>
          </cell>
          <cell r="B25" t="str">
            <v>Removing Gutter</v>
          </cell>
          <cell r="C25" t="str">
            <v>LF</v>
          </cell>
        </row>
        <row r="26">
          <cell r="A26">
            <v>204.01499999999999</v>
          </cell>
          <cell r="B26" t="str">
            <v>Removing Curb &amp; Gutter</v>
          </cell>
          <cell r="C26" t="str">
            <v>LF</v>
          </cell>
        </row>
        <row r="27">
          <cell r="A27">
            <v>204.0155</v>
          </cell>
          <cell r="B27" t="str">
            <v>Removing Concrete Sidewalk</v>
          </cell>
          <cell r="C27" t="str">
            <v>SY</v>
          </cell>
        </row>
        <row r="28">
          <cell r="A28">
            <v>204.01570000000001</v>
          </cell>
          <cell r="B28" t="str">
            <v>Removing Concrete Barrier</v>
          </cell>
          <cell r="C28" t="str">
            <v>LF</v>
          </cell>
        </row>
        <row r="29">
          <cell r="A29">
            <v>204.01599999999999</v>
          </cell>
          <cell r="B29" t="str">
            <v>Removing Lip Curb</v>
          </cell>
          <cell r="C29" t="str">
            <v>LF</v>
          </cell>
        </row>
        <row r="30">
          <cell r="A30">
            <v>204.01650000000001</v>
          </cell>
          <cell r="B30" t="str">
            <v>Removing Guardrail</v>
          </cell>
          <cell r="C30" t="str">
            <v>LF</v>
          </cell>
        </row>
        <row r="31">
          <cell r="A31">
            <v>204.017</v>
          </cell>
          <cell r="B31" t="str">
            <v>Removing Fence</v>
          </cell>
          <cell r="C31" t="str">
            <v>LF</v>
          </cell>
        </row>
        <row r="32">
          <cell r="A32">
            <v>204.01750000000001</v>
          </cell>
          <cell r="B32" t="str">
            <v>Removing Concrete Slope Paving</v>
          </cell>
          <cell r="C32" t="str">
            <v>SY</v>
          </cell>
        </row>
        <row r="33">
          <cell r="A33">
            <v>204.018</v>
          </cell>
          <cell r="B33" t="str">
            <v>Removing Delineators and Markers</v>
          </cell>
          <cell r="C33" t="str">
            <v>EACH</v>
          </cell>
        </row>
        <row r="34">
          <cell r="A34">
            <v>204.01849999999999</v>
          </cell>
          <cell r="B34" t="str">
            <v>Removing Masonry</v>
          </cell>
          <cell r="C34" t="str">
            <v>CY</v>
          </cell>
        </row>
        <row r="35">
          <cell r="A35">
            <v>204.01900000000001</v>
          </cell>
          <cell r="B35" t="str">
            <v>Removing Surface Drains</v>
          </cell>
          <cell r="C35" t="str">
            <v>EACH</v>
          </cell>
        </row>
        <row r="36">
          <cell r="A36">
            <v>204.01949999999999</v>
          </cell>
          <cell r="B36" t="str">
            <v>Removing Concrete Bases</v>
          </cell>
          <cell r="C36" t="str">
            <v>EACH</v>
          </cell>
        </row>
        <row r="37">
          <cell r="A37">
            <v>204.02</v>
          </cell>
          <cell r="B37" t="str">
            <v>Removing Railroad Track</v>
          </cell>
          <cell r="C37" t="str">
            <v>LF</v>
          </cell>
        </row>
        <row r="38">
          <cell r="A38">
            <v>204.0205</v>
          </cell>
          <cell r="B38" t="str">
            <v>Removing Utility Poles</v>
          </cell>
          <cell r="C38" t="str">
            <v>EACH</v>
          </cell>
        </row>
        <row r="39">
          <cell r="A39">
            <v>204.02099999999999</v>
          </cell>
          <cell r="B39" t="str">
            <v>Removing Manholes</v>
          </cell>
          <cell r="C39" t="str">
            <v>EACH</v>
          </cell>
        </row>
        <row r="40">
          <cell r="A40">
            <v>204.0215</v>
          </cell>
          <cell r="B40" t="str">
            <v>Removing Catch Basins</v>
          </cell>
          <cell r="C40" t="str">
            <v>EACH</v>
          </cell>
        </row>
        <row r="41">
          <cell r="A41">
            <v>204.02199999999999</v>
          </cell>
          <cell r="B41" t="str">
            <v>Removing Inlets</v>
          </cell>
          <cell r="C41" t="str">
            <v>EACH</v>
          </cell>
        </row>
        <row r="42">
          <cell r="A42">
            <v>204.02250000000001</v>
          </cell>
          <cell r="B42" t="str">
            <v>Removing Septic Tanks</v>
          </cell>
          <cell r="C42" t="str">
            <v>EACH</v>
          </cell>
        </row>
        <row r="43">
          <cell r="A43">
            <v>204.023</v>
          </cell>
          <cell r="B43" t="str">
            <v>Removing Building (station)</v>
          </cell>
          <cell r="C43" t="str">
            <v>LS</v>
          </cell>
        </row>
        <row r="44">
          <cell r="A44">
            <v>204.02350000000001</v>
          </cell>
          <cell r="B44" t="str">
            <v>Removing Buildings (parcel)</v>
          </cell>
          <cell r="C44" t="str">
            <v>LS</v>
          </cell>
        </row>
        <row r="45">
          <cell r="A45">
            <v>204.024</v>
          </cell>
          <cell r="B45" t="str">
            <v>Site Clearance (parcel)</v>
          </cell>
          <cell r="C45" t="str">
            <v>LS</v>
          </cell>
        </row>
        <row r="46">
          <cell r="A46">
            <v>204.02449999999999</v>
          </cell>
          <cell r="B46" t="str">
            <v>Removing Storm Sewer (size)</v>
          </cell>
          <cell r="C46" t="str">
            <v>LF</v>
          </cell>
        </row>
        <row r="47">
          <cell r="A47">
            <v>204.02500000000001</v>
          </cell>
          <cell r="B47" t="str">
            <v>Abandoning Manholes</v>
          </cell>
          <cell r="C47" t="str">
            <v>EACH</v>
          </cell>
        </row>
        <row r="48">
          <cell r="A48">
            <v>204.02549999999999</v>
          </cell>
          <cell r="B48" t="str">
            <v>Abandoning Catch Basins</v>
          </cell>
          <cell r="C48" t="str">
            <v>EACH</v>
          </cell>
        </row>
        <row r="49">
          <cell r="A49">
            <v>204.02600000000001</v>
          </cell>
          <cell r="B49" t="str">
            <v>Abandoning Inlets</v>
          </cell>
          <cell r="C49" t="str">
            <v>EACH</v>
          </cell>
        </row>
        <row r="50">
          <cell r="A50">
            <v>204.0265</v>
          </cell>
          <cell r="B50" t="str">
            <v>Abandoning Wells</v>
          </cell>
          <cell r="C50" t="str">
            <v>EACH</v>
          </cell>
        </row>
        <row r="51">
          <cell r="A51">
            <v>204.02699999999999</v>
          </cell>
          <cell r="B51" t="str">
            <v>Abandoning Culvert Pipes</v>
          </cell>
          <cell r="C51" t="str">
            <v>EACH</v>
          </cell>
        </row>
        <row r="52">
          <cell r="A52">
            <v>204.0275</v>
          </cell>
          <cell r="B52" t="str">
            <v>Closing Culvert Pipes</v>
          </cell>
          <cell r="C52" t="str">
            <v>EACH</v>
          </cell>
        </row>
        <row r="53">
          <cell r="A53">
            <v>204.02799999999999</v>
          </cell>
          <cell r="B53" t="str">
            <v>Sealing Pipes</v>
          </cell>
          <cell r="C53" t="str">
            <v>EACH</v>
          </cell>
        </row>
        <row r="54">
          <cell r="A54">
            <v>205.01</v>
          </cell>
          <cell r="B54" t="str">
            <v>Excavation Common</v>
          </cell>
          <cell r="C54" t="str">
            <v>CY</v>
          </cell>
        </row>
        <row r="55">
          <cell r="A55">
            <v>205.02</v>
          </cell>
          <cell r="B55" t="str">
            <v>Excavation Rock</v>
          </cell>
          <cell r="C55" t="str">
            <v>CY</v>
          </cell>
        </row>
        <row r="56">
          <cell r="A56">
            <v>205.03</v>
          </cell>
          <cell r="B56" t="str">
            <v>Excavation Stone Piles and Stone Fences</v>
          </cell>
          <cell r="C56" t="str">
            <v>CY</v>
          </cell>
        </row>
        <row r="57">
          <cell r="A57">
            <v>205.04</v>
          </cell>
          <cell r="B57" t="str">
            <v>Excavation Marsh</v>
          </cell>
          <cell r="C57" t="str">
            <v>CY</v>
          </cell>
        </row>
        <row r="58">
          <cell r="A58">
            <v>205.13</v>
          </cell>
          <cell r="B58" t="str">
            <v>Presplitting Rock</v>
          </cell>
          <cell r="C58" t="str">
            <v>LF</v>
          </cell>
        </row>
        <row r="59">
          <cell r="A59">
            <v>206.1</v>
          </cell>
          <cell r="B59" t="str">
            <v>Excavation for Structures Bridges (structure)</v>
          </cell>
          <cell r="C59" t="str">
            <v>LS</v>
          </cell>
        </row>
        <row r="60">
          <cell r="A60">
            <v>206.2</v>
          </cell>
          <cell r="B60" t="str">
            <v>Excavation for Structures Culverts (structure)</v>
          </cell>
          <cell r="C60" t="str">
            <v>LS</v>
          </cell>
        </row>
        <row r="61">
          <cell r="A61">
            <v>206.3</v>
          </cell>
          <cell r="B61" t="str">
            <v>Excavation for Structures Retaining Walls (structure)</v>
          </cell>
          <cell r="C61" t="str">
            <v>LS</v>
          </cell>
        </row>
        <row r="62">
          <cell r="A62">
            <v>206.4</v>
          </cell>
          <cell r="B62" t="str">
            <v>Excavation for Structures Structural Plate Pipe or Pipe Arches (station)</v>
          </cell>
          <cell r="C62" t="str">
            <v>LS</v>
          </cell>
        </row>
        <row r="63">
          <cell r="A63">
            <v>206.5</v>
          </cell>
          <cell r="B63" t="str">
            <v>Cofferdams (structure)</v>
          </cell>
          <cell r="C63" t="str">
            <v>LS</v>
          </cell>
        </row>
        <row r="64">
          <cell r="A64">
            <v>208.01</v>
          </cell>
          <cell r="B64" t="str">
            <v>Borrow</v>
          </cell>
          <cell r="C64" t="str">
            <v>CY</v>
          </cell>
        </row>
        <row r="65">
          <cell r="A65">
            <v>208.11</v>
          </cell>
          <cell r="B65" t="str">
            <v>Select Borrow</v>
          </cell>
          <cell r="C65" t="str">
            <v>CY</v>
          </cell>
        </row>
        <row r="66">
          <cell r="A66">
            <v>209.01</v>
          </cell>
          <cell r="B66" t="str">
            <v>Backfill Granular</v>
          </cell>
          <cell r="C66" t="str">
            <v>CY</v>
          </cell>
        </row>
        <row r="67">
          <cell r="A67">
            <v>210.01</v>
          </cell>
          <cell r="B67" t="str">
            <v>Backfill Structure</v>
          </cell>
          <cell r="C67" t="str">
            <v>CY</v>
          </cell>
        </row>
        <row r="68">
          <cell r="A68">
            <v>211.01</v>
          </cell>
          <cell r="B68" t="str">
            <v>Prepare Foundation for Asphaltic Paving (project)</v>
          </cell>
          <cell r="C68" t="str">
            <v>LS</v>
          </cell>
        </row>
        <row r="69">
          <cell r="A69">
            <v>211.02</v>
          </cell>
          <cell r="B69" t="str">
            <v>Prepare Foundation for Concrete Pavement (project)</v>
          </cell>
          <cell r="C69" t="str">
            <v>LS</v>
          </cell>
        </row>
        <row r="70">
          <cell r="A70">
            <v>211.03</v>
          </cell>
          <cell r="B70" t="str">
            <v>Prepare Foundation for Concrete Base (project)</v>
          </cell>
          <cell r="C70" t="str">
            <v>LS</v>
          </cell>
        </row>
        <row r="71">
          <cell r="A71">
            <v>211.04</v>
          </cell>
          <cell r="B71" t="str">
            <v>Prepare Foundation for Asphaltic Shoulders</v>
          </cell>
          <cell r="C71" t="str">
            <v>STA</v>
          </cell>
        </row>
        <row r="72">
          <cell r="A72">
            <v>211.05</v>
          </cell>
          <cell r="B72" t="str">
            <v>Prepare Foundation for Base Aggregate</v>
          </cell>
          <cell r="C72" t="str">
            <v>STA</v>
          </cell>
        </row>
        <row r="73">
          <cell r="A73">
            <v>213.01</v>
          </cell>
          <cell r="B73" t="str">
            <v>Finishing Roadway (project)</v>
          </cell>
          <cell r="C73" t="str">
            <v>EACH</v>
          </cell>
        </row>
        <row r="74">
          <cell r="A74">
            <v>214.01</v>
          </cell>
          <cell r="B74" t="str">
            <v>Obliterating Old Road</v>
          </cell>
          <cell r="C74" t="str">
            <v>STA</v>
          </cell>
        </row>
        <row r="75">
          <cell r="A75">
            <v>305.01100000000002</v>
          </cell>
          <cell r="B75" t="str">
            <v>Base Aggregate Dense 3/4-Inch</v>
          </cell>
          <cell r="C75" t="str">
            <v>TON</v>
          </cell>
        </row>
        <row r="76">
          <cell r="A76">
            <v>305.01150000000001</v>
          </cell>
          <cell r="B76" t="str">
            <v>Base Aggregate Dense 3/4-Inch</v>
          </cell>
          <cell r="C76" t="str">
            <v>CY</v>
          </cell>
        </row>
        <row r="77">
          <cell r="A77">
            <v>305.012</v>
          </cell>
          <cell r="B77" t="str">
            <v>Base Aggregate Dense 1 1/4-Inch</v>
          </cell>
          <cell r="C77" t="str">
            <v>TON</v>
          </cell>
        </row>
        <row r="78">
          <cell r="A78">
            <v>305.01249999999999</v>
          </cell>
          <cell r="B78" t="str">
            <v>Base Aggregate Dense 1 1/4-Inch</v>
          </cell>
          <cell r="C78" t="str">
            <v>CY</v>
          </cell>
        </row>
        <row r="79">
          <cell r="A79">
            <v>305.01299999999998</v>
          </cell>
          <cell r="B79" t="str">
            <v>Base Aggregate Dense 3-Inch</v>
          </cell>
          <cell r="C79" t="str">
            <v>TON</v>
          </cell>
        </row>
        <row r="80">
          <cell r="A80">
            <v>305.01350000000002</v>
          </cell>
          <cell r="B80" t="str">
            <v>Base Aggregate Dense 3-Inch</v>
          </cell>
          <cell r="C80" t="str">
            <v>CY</v>
          </cell>
        </row>
        <row r="81">
          <cell r="A81">
            <v>305.041</v>
          </cell>
          <cell r="B81" t="str">
            <v>Aggregate Detours</v>
          </cell>
          <cell r="C81" t="str">
            <v>TON</v>
          </cell>
        </row>
        <row r="82">
          <cell r="A82">
            <v>305.04149999999998</v>
          </cell>
          <cell r="B82" t="str">
            <v>Aggregate Detours</v>
          </cell>
          <cell r="C82" t="str">
            <v>CY</v>
          </cell>
        </row>
        <row r="83">
          <cell r="A83">
            <v>305.05</v>
          </cell>
          <cell r="B83" t="str">
            <v>Shaping Shoulders</v>
          </cell>
          <cell r="C83" t="str">
            <v>STA</v>
          </cell>
        </row>
        <row r="84">
          <cell r="A84">
            <v>306.01100000000002</v>
          </cell>
          <cell r="B84" t="str">
            <v>Salvaged Asphaltic Pavement Base</v>
          </cell>
          <cell r="C84" t="str">
            <v>TON</v>
          </cell>
        </row>
        <row r="85">
          <cell r="A85">
            <v>306.01150000000001</v>
          </cell>
          <cell r="B85" t="str">
            <v>Salvaged Asphaltic Pavement Base</v>
          </cell>
          <cell r="C85" t="str">
            <v>CY</v>
          </cell>
        </row>
        <row r="86">
          <cell r="A86">
            <v>310.01100000000002</v>
          </cell>
          <cell r="B86" t="str">
            <v>Base Aggregate Open Graded</v>
          </cell>
          <cell r="C86" t="str">
            <v>TON</v>
          </cell>
        </row>
        <row r="87">
          <cell r="A87">
            <v>310.01150000000001</v>
          </cell>
          <cell r="B87" t="str">
            <v>Base Aggregate Open Graded</v>
          </cell>
          <cell r="C87" t="str">
            <v>CY</v>
          </cell>
        </row>
        <row r="88">
          <cell r="A88">
            <v>311.01100000000002</v>
          </cell>
          <cell r="B88" t="str">
            <v>Breaker Run</v>
          </cell>
          <cell r="C88" t="str">
            <v>TON</v>
          </cell>
        </row>
        <row r="89">
          <cell r="A89">
            <v>311.01150000000001</v>
          </cell>
          <cell r="B89" t="str">
            <v>Breaker Run</v>
          </cell>
          <cell r="C89" t="str">
            <v>CY</v>
          </cell>
        </row>
        <row r="90">
          <cell r="A90">
            <v>312.01100000000002</v>
          </cell>
          <cell r="B90" t="str">
            <v>Select Crushed Material</v>
          </cell>
          <cell r="C90" t="str">
            <v>TON</v>
          </cell>
        </row>
        <row r="91">
          <cell r="A91">
            <v>312.01150000000001</v>
          </cell>
          <cell r="B91" t="str">
            <v>Select Crushed Material</v>
          </cell>
          <cell r="C91" t="str">
            <v>CY</v>
          </cell>
        </row>
        <row r="92">
          <cell r="A92">
            <v>313.01100000000002</v>
          </cell>
          <cell r="B92" t="str">
            <v>Pit Run</v>
          </cell>
          <cell r="C92" t="str">
            <v>TON</v>
          </cell>
        </row>
        <row r="93">
          <cell r="A93">
            <v>313.01150000000001</v>
          </cell>
          <cell r="B93" t="str">
            <v>Pit Run</v>
          </cell>
          <cell r="C93" t="str">
            <v>CY</v>
          </cell>
        </row>
        <row r="94">
          <cell r="A94">
            <v>315.01</v>
          </cell>
          <cell r="B94" t="str">
            <v>Asphaltic Base</v>
          </cell>
          <cell r="C94" t="str">
            <v>TON</v>
          </cell>
        </row>
        <row r="95">
          <cell r="A95">
            <v>315.02</v>
          </cell>
          <cell r="B95" t="str">
            <v>Asphaltic Base Widening</v>
          </cell>
          <cell r="C95" t="str">
            <v>TON</v>
          </cell>
        </row>
        <row r="96">
          <cell r="A96">
            <v>320.01049999999998</v>
          </cell>
          <cell r="B96" t="str">
            <v>Concrete Base 4-Inch</v>
          </cell>
          <cell r="C96" t="str">
            <v>SY</v>
          </cell>
        </row>
        <row r="97">
          <cell r="A97">
            <v>320.01100000000002</v>
          </cell>
          <cell r="B97" t="str">
            <v>Concrete Base 4 1/2-Inch</v>
          </cell>
          <cell r="C97" t="str">
            <v>SY</v>
          </cell>
        </row>
        <row r="98">
          <cell r="A98">
            <v>320.01150000000001</v>
          </cell>
          <cell r="B98" t="str">
            <v>Concrete Base 5-Inch</v>
          </cell>
          <cell r="C98" t="str">
            <v>SY</v>
          </cell>
        </row>
        <row r="99">
          <cell r="A99">
            <v>320.012</v>
          </cell>
          <cell r="B99" t="str">
            <v>Concrete Base 5 1/2-Inch</v>
          </cell>
          <cell r="C99" t="str">
            <v>SY</v>
          </cell>
        </row>
        <row r="100">
          <cell r="A100">
            <v>320.01249999999999</v>
          </cell>
          <cell r="B100" t="str">
            <v>Concrete Base 6-Inch</v>
          </cell>
          <cell r="C100" t="str">
            <v>SY</v>
          </cell>
        </row>
        <row r="101">
          <cell r="A101">
            <v>320.01299999999998</v>
          </cell>
          <cell r="B101" t="str">
            <v>Concrete Base 6 1/2-Inch</v>
          </cell>
          <cell r="C101" t="str">
            <v>SY</v>
          </cell>
        </row>
        <row r="102">
          <cell r="A102">
            <v>320.01350000000002</v>
          </cell>
          <cell r="B102" t="str">
            <v>Concrete Base 7-Inch</v>
          </cell>
          <cell r="C102" t="str">
            <v>SY</v>
          </cell>
        </row>
        <row r="103">
          <cell r="A103">
            <v>320.01400000000001</v>
          </cell>
          <cell r="B103" t="str">
            <v>Concrete Base 7 1/2-Inch</v>
          </cell>
          <cell r="C103" t="str">
            <v>SY</v>
          </cell>
        </row>
        <row r="104">
          <cell r="A104">
            <v>320.0145</v>
          </cell>
          <cell r="B104" t="str">
            <v>Concrete Base 8-Inch</v>
          </cell>
          <cell r="C104" t="str">
            <v>SY</v>
          </cell>
        </row>
        <row r="105">
          <cell r="A105">
            <v>320.01499999999999</v>
          </cell>
          <cell r="B105" t="str">
            <v>Concrete Base 8 1/2-Inch</v>
          </cell>
          <cell r="C105" t="str">
            <v>SY</v>
          </cell>
        </row>
        <row r="106">
          <cell r="A106">
            <v>320.01549999999997</v>
          </cell>
          <cell r="B106" t="str">
            <v>Concrete Base 9-Inch</v>
          </cell>
          <cell r="C106" t="str">
            <v>SY</v>
          </cell>
        </row>
        <row r="107">
          <cell r="A107">
            <v>320.01600000000002</v>
          </cell>
          <cell r="B107" t="str">
            <v>Concrete Base 9 1/2-Inch</v>
          </cell>
          <cell r="C107" t="str">
            <v>SY</v>
          </cell>
        </row>
        <row r="108">
          <cell r="A108">
            <v>320.01650000000001</v>
          </cell>
          <cell r="B108" t="str">
            <v>Concrete Base 10-Inch</v>
          </cell>
          <cell r="C108" t="str">
            <v>SY</v>
          </cell>
        </row>
        <row r="109">
          <cell r="A109">
            <v>320.017</v>
          </cell>
          <cell r="B109" t="str">
            <v>Concrete Base 10 1/2-Inch</v>
          </cell>
          <cell r="C109" t="str">
            <v>SY</v>
          </cell>
        </row>
        <row r="110">
          <cell r="A110">
            <v>320.03050000000002</v>
          </cell>
          <cell r="B110" t="str">
            <v>Concrete Base HES 4-Inch</v>
          </cell>
          <cell r="C110" t="str">
            <v>SY</v>
          </cell>
        </row>
        <row r="111">
          <cell r="A111">
            <v>320.03100000000001</v>
          </cell>
          <cell r="B111" t="str">
            <v>Concrete Base HES 4 1/2-Inch</v>
          </cell>
          <cell r="C111" t="str">
            <v>SY</v>
          </cell>
        </row>
        <row r="112">
          <cell r="A112">
            <v>320.03149999999999</v>
          </cell>
          <cell r="B112" t="str">
            <v>Concrete Base HES 5-Inch</v>
          </cell>
          <cell r="C112" t="str">
            <v>SY</v>
          </cell>
        </row>
        <row r="113">
          <cell r="A113">
            <v>320.03199999999998</v>
          </cell>
          <cell r="B113" t="str">
            <v>Concrete Base HES 5 1/2-Inch</v>
          </cell>
          <cell r="C113" t="str">
            <v>SY</v>
          </cell>
        </row>
        <row r="114">
          <cell r="A114">
            <v>320.03250000000003</v>
          </cell>
          <cell r="B114" t="str">
            <v>Concrete Base HES 6-Inch</v>
          </cell>
          <cell r="C114" t="str">
            <v>SY</v>
          </cell>
        </row>
        <row r="115">
          <cell r="A115">
            <v>320.03300000000002</v>
          </cell>
          <cell r="B115" t="str">
            <v>Concrete Base HES 6 1/2-Inch</v>
          </cell>
          <cell r="C115" t="str">
            <v>SY</v>
          </cell>
        </row>
        <row r="116">
          <cell r="A116">
            <v>320.0335</v>
          </cell>
          <cell r="B116" t="str">
            <v>Concrete Base HES 7-Inch</v>
          </cell>
          <cell r="C116" t="str">
            <v>SY</v>
          </cell>
        </row>
        <row r="117">
          <cell r="A117">
            <v>320.03399999999999</v>
          </cell>
          <cell r="B117" t="str">
            <v>Concrete Base HES 7 1/2-Inch</v>
          </cell>
          <cell r="C117" t="str">
            <v>SY</v>
          </cell>
        </row>
        <row r="118">
          <cell r="A118">
            <v>320.03449999999998</v>
          </cell>
          <cell r="B118" t="str">
            <v>Concrete Base HES 8-Inch</v>
          </cell>
          <cell r="C118" t="str">
            <v>SY</v>
          </cell>
        </row>
        <row r="119">
          <cell r="A119">
            <v>320.03500000000003</v>
          </cell>
          <cell r="B119" t="str">
            <v>Concrete Base HES 8 1/2-Inch</v>
          </cell>
          <cell r="C119" t="str">
            <v>SY</v>
          </cell>
        </row>
        <row r="120">
          <cell r="A120">
            <v>320.03550000000001</v>
          </cell>
          <cell r="B120" t="str">
            <v>Concrete Base HES 9-Inch</v>
          </cell>
          <cell r="C120" t="str">
            <v>SY</v>
          </cell>
        </row>
        <row r="121">
          <cell r="A121">
            <v>320.036</v>
          </cell>
          <cell r="B121" t="str">
            <v>Concrete Base HES 9 1/2-Inch</v>
          </cell>
          <cell r="C121" t="str">
            <v>SY</v>
          </cell>
        </row>
        <row r="122">
          <cell r="A122">
            <v>320.03649999999999</v>
          </cell>
          <cell r="B122" t="str">
            <v>Concrete Base HES 10-Inch</v>
          </cell>
          <cell r="C122" t="str">
            <v>SY</v>
          </cell>
        </row>
        <row r="123">
          <cell r="A123">
            <v>320.03699999999998</v>
          </cell>
          <cell r="B123" t="str">
            <v>Concrete Base HES 10 1/2-Inch</v>
          </cell>
          <cell r="C123" t="str">
            <v>SY</v>
          </cell>
        </row>
        <row r="124">
          <cell r="A124">
            <v>320.05</v>
          </cell>
          <cell r="B124" t="str">
            <v>Concrete Base Widening</v>
          </cell>
          <cell r="C124" t="str">
            <v>SY</v>
          </cell>
        </row>
        <row r="125">
          <cell r="A125">
            <v>325.01</v>
          </cell>
          <cell r="B125" t="str">
            <v>Pulverize and Relay</v>
          </cell>
          <cell r="C125" t="str">
            <v>SY</v>
          </cell>
        </row>
        <row r="126">
          <cell r="A126">
            <v>330.01</v>
          </cell>
          <cell r="B126" t="str">
            <v>Mill and Relay</v>
          </cell>
          <cell r="C126" t="str">
            <v>SY</v>
          </cell>
        </row>
        <row r="127">
          <cell r="A127">
            <v>335.01</v>
          </cell>
          <cell r="B127" t="str">
            <v>Rubblizing</v>
          </cell>
          <cell r="C127" t="str">
            <v>SY</v>
          </cell>
        </row>
        <row r="128">
          <cell r="A128">
            <v>340.01</v>
          </cell>
          <cell r="B128" t="str">
            <v>Cracking and Seating</v>
          </cell>
          <cell r="C128" t="str">
            <v>SY</v>
          </cell>
        </row>
        <row r="129">
          <cell r="A129">
            <v>350.0102</v>
          </cell>
          <cell r="B129" t="str">
            <v>Subbase</v>
          </cell>
          <cell r="C129" t="str">
            <v>CY</v>
          </cell>
        </row>
        <row r="130">
          <cell r="A130">
            <v>350.0104</v>
          </cell>
          <cell r="B130" t="str">
            <v>Subbase</v>
          </cell>
          <cell r="C130" t="str">
            <v>TON</v>
          </cell>
        </row>
        <row r="131">
          <cell r="A131">
            <v>350.01150000000001</v>
          </cell>
          <cell r="B131" t="str">
            <v>Subbase 6-Inch</v>
          </cell>
          <cell r="C131" t="str">
            <v>SY</v>
          </cell>
        </row>
        <row r="132">
          <cell r="A132">
            <v>350.012</v>
          </cell>
          <cell r="B132" t="str">
            <v>Subbase 7-Inch</v>
          </cell>
          <cell r="C132" t="str">
            <v>SY</v>
          </cell>
        </row>
        <row r="133">
          <cell r="A133">
            <v>350.01249999999999</v>
          </cell>
          <cell r="B133" t="str">
            <v>Subbase 8-Inch</v>
          </cell>
          <cell r="C133" t="str">
            <v>SY</v>
          </cell>
        </row>
        <row r="134">
          <cell r="A134">
            <v>350.01299999999998</v>
          </cell>
          <cell r="B134" t="str">
            <v>Subbase 9-Inch</v>
          </cell>
          <cell r="C134" t="str">
            <v>SY</v>
          </cell>
        </row>
        <row r="135">
          <cell r="A135">
            <v>350.01350000000002</v>
          </cell>
          <cell r="B135" t="str">
            <v>Subbase 10-Inch</v>
          </cell>
          <cell r="C135" t="str">
            <v>SY</v>
          </cell>
        </row>
        <row r="136">
          <cell r="A136">
            <v>350.01400000000001</v>
          </cell>
          <cell r="B136" t="str">
            <v>Subbase 11-Inch</v>
          </cell>
          <cell r="C136" t="str">
            <v>SY</v>
          </cell>
        </row>
        <row r="137">
          <cell r="A137">
            <v>350.0145</v>
          </cell>
          <cell r="B137" t="str">
            <v>Subbase 12-Inch</v>
          </cell>
          <cell r="C137" t="str">
            <v>SY</v>
          </cell>
        </row>
        <row r="138">
          <cell r="A138">
            <v>390.01029999999997</v>
          </cell>
          <cell r="B138" t="str">
            <v>Base Patching</v>
          </cell>
          <cell r="C138" t="str">
            <v>SY</v>
          </cell>
        </row>
        <row r="139">
          <cell r="A139">
            <v>390.02010000000001</v>
          </cell>
          <cell r="B139" t="str">
            <v>Base Patching Asphaltic</v>
          </cell>
          <cell r="C139" t="str">
            <v>TON</v>
          </cell>
        </row>
        <row r="140">
          <cell r="A140">
            <v>390.02030000000002</v>
          </cell>
          <cell r="B140" t="str">
            <v>Base Patching Asphaltic</v>
          </cell>
          <cell r="C140" t="str">
            <v>SY</v>
          </cell>
        </row>
        <row r="141">
          <cell r="A141">
            <v>390.03030000000001</v>
          </cell>
          <cell r="B141" t="str">
            <v>Base Patching Concrete</v>
          </cell>
          <cell r="C141" t="str">
            <v>SY</v>
          </cell>
        </row>
        <row r="142">
          <cell r="A142">
            <v>390.0403</v>
          </cell>
          <cell r="B142" t="str">
            <v>Base Patching Concrete SHES</v>
          </cell>
          <cell r="C142" t="str">
            <v>SY</v>
          </cell>
        </row>
        <row r="143">
          <cell r="A143">
            <v>415.00599999999997</v>
          </cell>
          <cell r="B143" t="str">
            <v>Concrete Pavement 6-Inch</v>
          </cell>
          <cell r="C143" t="str">
            <v>SY</v>
          </cell>
        </row>
        <row r="144">
          <cell r="A144">
            <v>415.00650000000002</v>
          </cell>
          <cell r="B144" t="str">
            <v>Concrete Pavement 6 1/2-Inch</v>
          </cell>
          <cell r="C144" t="str">
            <v>SY</v>
          </cell>
        </row>
        <row r="145">
          <cell r="A145">
            <v>415.00700000000001</v>
          </cell>
          <cell r="B145" t="str">
            <v>Concrete Pavement 7-Inch</v>
          </cell>
          <cell r="C145" t="str">
            <v>SY</v>
          </cell>
        </row>
        <row r="146">
          <cell r="A146">
            <v>415.00749999999999</v>
          </cell>
          <cell r="B146" t="str">
            <v>Concrete Pavement 7 1/2-Inch</v>
          </cell>
          <cell r="C146" t="str">
            <v>SY</v>
          </cell>
        </row>
        <row r="147">
          <cell r="A147">
            <v>415.00799999999998</v>
          </cell>
          <cell r="B147" t="str">
            <v>Concrete Pavement 8-Inch</v>
          </cell>
          <cell r="C147" t="str">
            <v>SY</v>
          </cell>
        </row>
        <row r="148">
          <cell r="A148">
            <v>415.00850000000003</v>
          </cell>
          <cell r="B148" t="str">
            <v>Concrete Pavement 8 1/2-Inch</v>
          </cell>
          <cell r="C148" t="str">
            <v>SY</v>
          </cell>
        </row>
        <row r="149">
          <cell r="A149">
            <v>415.00900000000001</v>
          </cell>
          <cell r="B149" t="str">
            <v>Concrete Pavement 9-Inch</v>
          </cell>
          <cell r="C149" t="str">
            <v>SY</v>
          </cell>
        </row>
        <row r="150">
          <cell r="A150">
            <v>415.0095</v>
          </cell>
          <cell r="B150" t="str">
            <v>Concrete Pavement 9 1/2-Inch</v>
          </cell>
          <cell r="C150" t="str">
            <v>SY</v>
          </cell>
        </row>
        <row r="151">
          <cell r="A151">
            <v>415.01</v>
          </cell>
          <cell r="B151" t="str">
            <v>Concrete Pavement 10-Inch</v>
          </cell>
          <cell r="C151" t="str">
            <v>SY</v>
          </cell>
        </row>
        <row r="152">
          <cell r="A152">
            <v>415.01049999999998</v>
          </cell>
          <cell r="B152" t="str">
            <v>Concrete Pavement 10 1/2-Inch</v>
          </cell>
          <cell r="C152" t="str">
            <v>SY</v>
          </cell>
        </row>
        <row r="153">
          <cell r="A153">
            <v>415.01100000000002</v>
          </cell>
          <cell r="B153" t="str">
            <v>Concrete Pavement 11-Inch</v>
          </cell>
          <cell r="C153" t="str">
            <v>SY</v>
          </cell>
        </row>
        <row r="154">
          <cell r="A154">
            <v>415.01150000000001</v>
          </cell>
          <cell r="B154" t="str">
            <v>Concrete Pavement 11 1/2-Inch</v>
          </cell>
          <cell r="C154" t="str">
            <v>SY</v>
          </cell>
        </row>
        <row r="155">
          <cell r="A155">
            <v>415.012</v>
          </cell>
          <cell r="B155" t="str">
            <v>Concrete Pavement 12-Inch</v>
          </cell>
          <cell r="C155" t="str">
            <v>SY</v>
          </cell>
        </row>
        <row r="156">
          <cell r="A156">
            <v>415.108</v>
          </cell>
          <cell r="B156" t="str">
            <v>Concrete Pavement HES 8-Inch</v>
          </cell>
          <cell r="C156" t="str">
            <v>SY</v>
          </cell>
        </row>
        <row r="157">
          <cell r="A157">
            <v>415.10849999999999</v>
          </cell>
          <cell r="B157" t="str">
            <v>Concrete Pavement HES 8 1/2-Inch</v>
          </cell>
          <cell r="C157" t="str">
            <v>SY</v>
          </cell>
        </row>
        <row r="158">
          <cell r="A158">
            <v>415.10899999999998</v>
          </cell>
          <cell r="B158" t="str">
            <v>Concrete Pavement HES 9-Inch</v>
          </cell>
          <cell r="C158" t="str">
            <v>SY</v>
          </cell>
        </row>
        <row r="159">
          <cell r="A159">
            <v>415.10950000000003</v>
          </cell>
          <cell r="B159" t="str">
            <v>Concrete Pavement HES 9 1/2-Inch</v>
          </cell>
          <cell r="C159" t="str">
            <v>SY</v>
          </cell>
        </row>
        <row r="160">
          <cell r="A160">
            <v>415.11</v>
          </cell>
          <cell r="B160" t="str">
            <v>Concrete Pavement HES 10-Inch</v>
          </cell>
          <cell r="C160" t="str">
            <v>SY</v>
          </cell>
        </row>
        <row r="161">
          <cell r="A161">
            <v>415.1105</v>
          </cell>
          <cell r="B161" t="str">
            <v>Concrete Pavement HES 10 1/2-Inch</v>
          </cell>
          <cell r="C161" t="str">
            <v>SY</v>
          </cell>
        </row>
        <row r="162">
          <cell r="A162">
            <v>415.11099999999999</v>
          </cell>
          <cell r="B162" t="str">
            <v>Concrete Pavement HES 11-Inch</v>
          </cell>
          <cell r="C162" t="str">
            <v>SY</v>
          </cell>
        </row>
        <row r="163">
          <cell r="A163">
            <v>415.11149999999998</v>
          </cell>
          <cell r="B163" t="str">
            <v>Concrete Pavement HES 11 1/2-Inch</v>
          </cell>
          <cell r="C163" t="str">
            <v>SY</v>
          </cell>
        </row>
        <row r="164">
          <cell r="A164">
            <v>415.11200000000002</v>
          </cell>
          <cell r="B164" t="str">
            <v>Concrete Pavement HES 12-Inch</v>
          </cell>
          <cell r="C164" t="str">
            <v>SY</v>
          </cell>
        </row>
        <row r="165">
          <cell r="A165">
            <v>415.51049999999998</v>
          </cell>
          <cell r="B165" t="str">
            <v>Concrete Pavement Continuous Reinforcement</v>
          </cell>
          <cell r="C165" t="str">
            <v>SY</v>
          </cell>
        </row>
        <row r="166">
          <cell r="A166">
            <v>416.005</v>
          </cell>
          <cell r="B166" t="str">
            <v>Concrete Pavement Approach Slab</v>
          </cell>
          <cell r="C166" t="str">
            <v>SY</v>
          </cell>
        </row>
        <row r="167">
          <cell r="A167">
            <v>416.00549999999998</v>
          </cell>
          <cell r="B167" t="str">
            <v>Concrete Pavement Approach Slab HES</v>
          </cell>
          <cell r="C167" t="str">
            <v>SY</v>
          </cell>
        </row>
        <row r="168">
          <cell r="A168">
            <v>416.00599999999997</v>
          </cell>
          <cell r="B168" t="str">
            <v>Concrete Pavement Widening</v>
          </cell>
          <cell r="C168" t="str">
            <v>SY</v>
          </cell>
        </row>
        <row r="169">
          <cell r="A169">
            <v>416.00650000000002</v>
          </cell>
          <cell r="B169" t="str">
            <v>Concrete Pavement Widening HES</v>
          </cell>
          <cell r="C169" t="str">
            <v>SY</v>
          </cell>
        </row>
        <row r="170">
          <cell r="A170">
            <v>416.01600000000002</v>
          </cell>
          <cell r="B170" t="str">
            <v>Concrete Driveway 6-Inch</v>
          </cell>
          <cell r="C170" t="str">
            <v>SY</v>
          </cell>
        </row>
        <row r="171">
          <cell r="A171">
            <v>416.017</v>
          </cell>
          <cell r="B171" t="str">
            <v>Concrete Driveway 7-Inch</v>
          </cell>
          <cell r="C171" t="str">
            <v>SY</v>
          </cell>
        </row>
        <row r="172">
          <cell r="A172">
            <v>416.01799999999997</v>
          </cell>
          <cell r="B172" t="str">
            <v>Concrete Driveway 8-Inch</v>
          </cell>
          <cell r="C172" t="str">
            <v>SY</v>
          </cell>
        </row>
        <row r="173">
          <cell r="A173">
            <v>416.01900000000001</v>
          </cell>
          <cell r="B173" t="str">
            <v>Concrete Driveway 9-Inch</v>
          </cell>
          <cell r="C173" t="str">
            <v>SY</v>
          </cell>
        </row>
        <row r="174">
          <cell r="A174">
            <v>416.02600000000001</v>
          </cell>
          <cell r="B174" t="str">
            <v>Concrete Driveway HES 6-Inch</v>
          </cell>
          <cell r="C174" t="str">
            <v>SY</v>
          </cell>
        </row>
        <row r="175">
          <cell r="A175">
            <v>416.02699999999999</v>
          </cell>
          <cell r="B175" t="str">
            <v>Concrete Driveway HES 7-Inch</v>
          </cell>
          <cell r="C175" t="str">
            <v>SY</v>
          </cell>
        </row>
        <row r="176">
          <cell r="A176">
            <v>416.02800000000002</v>
          </cell>
          <cell r="B176" t="str">
            <v>Concrete Driveway HES 8-Inch</v>
          </cell>
          <cell r="C176" t="str">
            <v>SY</v>
          </cell>
        </row>
        <row r="177">
          <cell r="A177">
            <v>416.029</v>
          </cell>
          <cell r="B177" t="str">
            <v>Concrete Driveway HES 9-Inch</v>
          </cell>
          <cell r="C177" t="str">
            <v>SY</v>
          </cell>
        </row>
        <row r="178">
          <cell r="A178">
            <v>416.03100000000001</v>
          </cell>
          <cell r="B178" t="str">
            <v>Concrete Alley</v>
          </cell>
          <cell r="C178" t="str">
            <v>SY</v>
          </cell>
        </row>
        <row r="179">
          <cell r="A179">
            <v>416.03149999999999</v>
          </cell>
          <cell r="B179" t="str">
            <v>Concrete Alley HES</v>
          </cell>
          <cell r="C179" t="str">
            <v>SY</v>
          </cell>
        </row>
        <row r="180">
          <cell r="A180">
            <v>416.041</v>
          </cell>
          <cell r="B180" t="str">
            <v>Concrete Pavement Header</v>
          </cell>
          <cell r="C180" t="str">
            <v>SY</v>
          </cell>
        </row>
        <row r="181">
          <cell r="A181">
            <v>416.04149999999998</v>
          </cell>
          <cell r="B181" t="str">
            <v>Concrete Pavement Header HES</v>
          </cell>
          <cell r="C181" t="str">
            <v>SY</v>
          </cell>
        </row>
        <row r="182">
          <cell r="A182">
            <v>416.0505</v>
          </cell>
          <cell r="B182" t="str">
            <v>Pavement Terminal Units</v>
          </cell>
          <cell r="C182" t="str">
            <v>EACH</v>
          </cell>
        </row>
        <row r="183">
          <cell r="A183">
            <v>416.06099999999998</v>
          </cell>
          <cell r="B183" t="str">
            <v>Drilled Tie Bars</v>
          </cell>
          <cell r="C183" t="str">
            <v>EACH</v>
          </cell>
        </row>
        <row r="184">
          <cell r="A184">
            <v>416.06200000000001</v>
          </cell>
          <cell r="B184" t="str">
            <v>Drilled Dowel Bars</v>
          </cell>
          <cell r="C184" t="str">
            <v>EACH</v>
          </cell>
        </row>
        <row r="185">
          <cell r="A185">
            <v>416.08049999999997</v>
          </cell>
          <cell r="B185" t="str">
            <v>Concrete Pavement Gaps</v>
          </cell>
          <cell r="C185" t="str">
            <v>EACH</v>
          </cell>
        </row>
        <row r="186">
          <cell r="A186">
            <v>416.09050000000002</v>
          </cell>
          <cell r="B186" t="str">
            <v>Concrete Pavement Continuous Diamond Grinding</v>
          </cell>
          <cell r="C186" t="str">
            <v>SY</v>
          </cell>
        </row>
        <row r="187">
          <cell r="A187">
            <v>416.101</v>
          </cell>
          <cell r="B187" t="str">
            <v>Concrete Surface Drains</v>
          </cell>
          <cell r="C187" t="str">
            <v>CY</v>
          </cell>
        </row>
        <row r="188">
          <cell r="A188">
            <v>416.10149999999999</v>
          </cell>
          <cell r="B188" t="str">
            <v>Concrete Surface Drains HES</v>
          </cell>
          <cell r="C188" t="str">
            <v>CY</v>
          </cell>
        </row>
        <row r="189">
          <cell r="A189">
            <v>416.17099999999999</v>
          </cell>
          <cell r="B189" t="str">
            <v>Concrete Pavement Repair</v>
          </cell>
          <cell r="C189" t="str">
            <v>SY</v>
          </cell>
        </row>
        <row r="190">
          <cell r="A190">
            <v>416.17149999999998</v>
          </cell>
          <cell r="B190" t="str">
            <v>Concrete Pavement Repair SHES</v>
          </cell>
          <cell r="C190" t="str">
            <v>SY</v>
          </cell>
        </row>
        <row r="191">
          <cell r="A191">
            <v>416.17200000000003</v>
          </cell>
          <cell r="B191" t="str">
            <v>Concrete Pavement Replacement</v>
          </cell>
          <cell r="C191" t="str">
            <v>SY</v>
          </cell>
        </row>
        <row r="192">
          <cell r="A192">
            <v>416.17250000000001</v>
          </cell>
          <cell r="B192" t="str">
            <v>Concrete Pavement Replacement SHES</v>
          </cell>
          <cell r="C192" t="str">
            <v>SY</v>
          </cell>
        </row>
        <row r="193">
          <cell r="A193">
            <v>455.01049999999998</v>
          </cell>
          <cell r="B193" t="str">
            <v>Asphaltic Material PG58-28</v>
          </cell>
          <cell r="C193" t="str">
            <v>TON</v>
          </cell>
        </row>
        <row r="194">
          <cell r="A194">
            <v>455.01100000000002</v>
          </cell>
          <cell r="B194" t="str">
            <v>Asphaltic Material PG58-34</v>
          </cell>
          <cell r="C194" t="str">
            <v>TON</v>
          </cell>
        </row>
        <row r="195">
          <cell r="A195">
            <v>455.01150000000001</v>
          </cell>
          <cell r="B195" t="str">
            <v>Asphaltic Material PG64-22</v>
          </cell>
          <cell r="C195" t="str">
            <v>TON</v>
          </cell>
        </row>
        <row r="196">
          <cell r="A196">
            <v>455.012</v>
          </cell>
          <cell r="B196" t="str">
            <v>Asphaltic Material PG64-28</v>
          </cell>
          <cell r="C196" t="str">
            <v>TON</v>
          </cell>
        </row>
        <row r="197">
          <cell r="A197">
            <v>455.01220000000001</v>
          </cell>
          <cell r="B197" t="str">
            <v>Asphaltic Material PG64-34</v>
          </cell>
          <cell r="C197" t="str">
            <v>TON</v>
          </cell>
        </row>
        <row r="198">
          <cell r="A198">
            <v>455.01249999999999</v>
          </cell>
          <cell r="B198" t="str">
            <v>Asphaltic Material PG70-28</v>
          </cell>
          <cell r="C198" t="str">
            <v>TON</v>
          </cell>
        </row>
        <row r="199">
          <cell r="A199">
            <v>455.01350000000002</v>
          </cell>
          <cell r="B199" t="str">
            <v>Asphaltic Material PG58-34P</v>
          </cell>
          <cell r="C199" t="str">
            <v>TON</v>
          </cell>
        </row>
        <row r="200">
          <cell r="A200">
            <v>455.01400000000001</v>
          </cell>
          <cell r="B200" t="str">
            <v>Asphaltic Material PG64-28P</v>
          </cell>
          <cell r="C200" t="str">
            <v>TON</v>
          </cell>
        </row>
        <row r="201">
          <cell r="A201">
            <v>455.0145</v>
          </cell>
          <cell r="B201" t="str">
            <v>Asphaltic Material PG64-34P</v>
          </cell>
          <cell r="C201" t="str">
            <v>TON</v>
          </cell>
        </row>
        <row r="202">
          <cell r="A202">
            <v>455.01499999999999</v>
          </cell>
          <cell r="B202" t="str">
            <v>Asphaltic Material PG70-28P</v>
          </cell>
          <cell r="C202" t="str">
            <v>TON</v>
          </cell>
        </row>
        <row r="203">
          <cell r="A203">
            <v>455.02050000000003</v>
          </cell>
          <cell r="B203" t="str">
            <v>Asphaltic Material PG58-28</v>
          </cell>
          <cell r="C203" t="str">
            <v>GAL</v>
          </cell>
        </row>
        <row r="204">
          <cell r="A204">
            <v>455.02100000000002</v>
          </cell>
          <cell r="B204" t="str">
            <v>Asphaltic Material PG58-34</v>
          </cell>
          <cell r="C204" t="str">
            <v>GAL</v>
          </cell>
        </row>
        <row r="205">
          <cell r="A205">
            <v>455.0215</v>
          </cell>
          <cell r="B205" t="str">
            <v>Asphaltic Material PG64-22</v>
          </cell>
          <cell r="C205" t="str">
            <v>GAL</v>
          </cell>
        </row>
        <row r="206">
          <cell r="A206">
            <v>455.02199999999999</v>
          </cell>
          <cell r="B206" t="str">
            <v>Asphaltic Material PG64-28</v>
          </cell>
          <cell r="C206" t="str">
            <v>GAL</v>
          </cell>
        </row>
        <row r="207">
          <cell r="A207">
            <v>455.0222</v>
          </cell>
          <cell r="B207" t="str">
            <v>Asphaltic Material PG64-34</v>
          </cell>
          <cell r="C207" t="str">
            <v>GAL</v>
          </cell>
        </row>
        <row r="208">
          <cell r="A208">
            <v>455.02249999999998</v>
          </cell>
          <cell r="B208" t="str">
            <v>Asphaltic Material PG70-28</v>
          </cell>
          <cell r="C208" t="str">
            <v>GAL</v>
          </cell>
        </row>
        <row r="209">
          <cell r="A209">
            <v>455.02350000000001</v>
          </cell>
          <cell r="B209" t="str">
            <v>Asphaltic Material PG58-34P</v>
          </cell>
          <cell r="C209" t="str">
            <v>GAL</v>
          </cell>
        </row>
        <row r="210">
          <cell r="A210">
            <v>455.024</v>
          </cell>
          <cell r="B210" t="str">
            <v>Asphaltic Material PG64-28P</v>
          </cell>
          <cell r="C210" t="str">
            <v>GAL</v>
          </cell>
        </row>
        <row r="211">
          <cell r="A211">
            <v>455.02449999999999</v>
          </cell>
          <cell r="B211" t="str">
            <v>Asphaltic Material PG64-34P</v>
          </cell>
          <cell r="C211" t="str">
            <v>GAL</v>
          </cell>
        </row>
        <row r="212">
          <cell r="A212">
            <v>455.02499999999998</v>
          </cell>
          <cell r="B212" t="str">
            <v>Asphaltic Material PG70-28P</v>
          </cell>
          <cell r="C212" t="str">
            <v>GAL</v>
          </cell>
        </row>
        <row r="213">
          <cell r="A213">
            <v>455.03</v>
          </cell>
          <cell r="B213" t="str">
            <v>Asphaltic Material Special</v>
          </cell>
          <cell r="C213" t="str">
            <v>TON</v>
          </cell>
        </row>
        <row r="214">
          <cell r="A214">
            <v>455.04</v>
          </cell>
          <cell r="B214" t="str">
            <v>Asphaltic Material Special</v>
          </cell>
          <cell r="C214" t="str">
            <v>GAL</v>
          </cell>
        </row>
        <row r="215">
          <cell r="A215">
            <v>455.05</v>
          </cell>
          <cell r="B215" t="str">
            <v>Asphaltic Material Seal Coat</v>
          </cell>
          <cell r="C215" t="str">
            <v>TON</v>
          </cell>
        </row>
        <row r="216">
          <cell r="A216">
            <v>455.0505</v>
          </cell>
          <cell r="B216" t="str">
            <v>Asphaltic Material Seal Coat</v>
          </cell>
          <cell r="C216" t="str">
            <v>GAL</v>
          </cell>
        </row>
        <row r="217">
          <cell r="A217">
            <v>455.06</v>
          </cell>
          <cell r="B217" t="str">
            <v>Tack Coat</v>
          </cell>
          <cell r="C217" t="str">
            <v>TON</v>
          </cell>
        </row>
        <row r="218">
          <cell r="A218">
            <v>455.06049999999999</v>
          </cell>
          <cell r="B218" t="str">
            <v>Tack Coat</v>
          </cell>
          <cell r="C218" t="str">
            <v>GAL</v>
          </cell>
        </row>
        <row r="219">
          <cell r="A219">
            <v>460.11</v>
          </cell>
          <cell r="B219" t="str">
            <v>HMA Pavement Type E-0.3</v>
          </cell>
          <cell r="C219" t="str">
            <v>TON</v>
          </cell>
        </row>
        <row r="220">
          <cell r="A220">
            <v>460.11009999999999</v>
          </cell>
          <cell r="B220" t="str">
            <v>HMA Pavement Type E-1</v>
          </cell>
          <cell r="C220" t="str">
            <v>TON</v>
          </cell>
        </row>
        <row r="221">
          <cell r="A221">
            <v>460.1103</v>
          </cell>
          <cell r="B221" t="str">
            <v>HMA Pavement Type E-3</v>
          </cell>
          <cell r="C221" t="str">
            <v>TON</v>
          </cell>
        </row>
        <row r="222">
          <cell r="A222">
            <v>460.11099999999999</v>
          </cell>
          <cell r="B222" t="str">
            <v>HMA Pavement Type E-10</v>
          </cell>
          <cell r="C222" t="str">
            <v>TON</v>
          </cell>
        </row>
        <row r="223">
          <cell r="A223">
            <v>460.113</v>
          </cell>
          <cell r="B223" t="str">
            <v>HMA Pavement Type E-30</v>
          </cell>
          <cell r="C223" t="str">
            <v>TON</v>
          </cell>
        </row>
        <row r="224">
          <cell r="A224">
            <v>460.11320000000001</v>
          </cell>
          <cell r="B224" t="str">
            <v>HMA Pavement Type E-30X</v>
          </cell>
          <cell r="C224" t="str">
            <v>TON</v>
          </cell>
        </row>
        <row r="225">
          <cell r="A225">
            <v>460.17</v>
          </cell>
          <cell r="B225" t="str">
            <v>HMA Pavement Type SMA</v>
          </cell>
          <cell r="C225" t="str">
            <v>TON</v>
          </cell>
        </row>
        <row r="226">
          <cell r="A226">
            <v>460.2</v>
          </cell>
          <cell r="B226" t="str">
            <v>Incentive Density HMA Pavement</v>
          </cell>
          <cell r="C226" t="str">
            <v>DOL</v>
          </cell>
        </row>
        <row r="227">
          <cell r="A227">
            <v>465.01049999999998</v>
          </cell>
          <cell r="B227" t="str">
            <v>Asphaltic Surface</v>
          </cell>
          <cell r="C227" t="str">
            <v>TON</v>
          </cell>
        </row>
        <row r="228">
          <cell r="A228">
            <v>465.01100000000002</v>
          </cell>
          <cell r="B228" t="str">
            <v>Asphaltic Surface Patching</v>
          </cell>
          <cell r="C228" t="str">
            <v>TON</v>
          </cell>
        </row>
        <row r="229">
          <cell r="A229">
            <v>465.01150000000001</v>
          </cell>
          <cell r="B229" t="str">
            <v>Asphaltic Surface Detours</v>
          </cell>
          <cell r="C229" t="str">
            <v>TON</v>
          </cell>
        </row>
        <row r="230">
          <cell r="A230">
            <v>465.012</v>
          </cell>
          <cell r="B230" t="str">
            <v>Asphaltic Surface Driveways and Field Entrances</v>
          </cell>
          <cell r="C230" t="str">
            <v>TON</v>
          </cell>
        </row>
        <row r="231">
          <cell r="A231">
            <v>465.01249999999999</v>
          </cell>
          <cell r="B231" t="str">
            <v>Asphaltic Surface Temporary</v>
          </cell>
          <cell r="C231" t="str">
            <v>TON</v>
          </cell>
        </row>
        <row r="232">
          <cell r="A232">
            <v>465.03050000000002</v>
          </cell>
          <cell r="B232" t="str">
            <v>Asphaltic Surface Safety Islands</v>
          </cell>
          <cell r="C232" t="str">
            <v>TON</v>
          </cell>
        </row>
        <row r="233">
          <cell r="A233">
            <v>465.03100000000001</v>
          </cell>
          <cell r="B233" t="str">
            <v>Asphaltic Curb</v>
          </cell>
          <cell r="C233" t="str">
            <v>LF</v>
          </cell>
        </row>
        <row r="234">
          <cell r="A234">
            <v>465.03149999999999</v>
          </cell>
          <cell r="B234" t="str">
            <v>Asphaltic Flumes</v>
          </cell>
          <cell r="C234" t="str">
            <v>SY</v>
          </cell>
        </row>
        <row r="235">
          <cell r="A235">
            <v>465.04</v>
          </cell>
          <cell r="B235" t="str">
            <v>Asphaltic Shoulder Rumble Strip</v>
          </cell>
          <cell r="C235" t="str">
            <v>LF</v>
          </cell>
        </row>
        <row r="236">
          <cell r="A236">
            <v>465.04500000000002</v>
          </cell>
          <cell r="B236" t="str">
            <v>Asphaltic Intersection Rumble Strip</v>
          </cell>
          <cell r="C236" t="str">
            <v>SY</v>
          </cell>
        </row>
        <row r="237">
          <cell r="A237">
            <v>475.01</v>
          </cell>
          <cell r="B237" t="str">
            <v>Seal Coat</v>
          </cell>
          <cell r="C237" t="str">
            <v>CY</v>
          </cell>
        </row>
        <row r="238">
          <cell r="A238">
            <v>475.01049999999998</v>
          </cell>
          <cell r="B238" t="str">
            <v>Seal Coat</v>
          </cell>
          <cell r="C238" t="str">
            <v>TON</v>
          </cell>
        </row>
        <row r="239">
          <cell r="A239">
            <v>490.01</v>
          </cell>
          <cell r="B239" t="str">
            <v>Salvaged Asphaltic Pavement</v>
          </cell>
          <cell r="C239" t="str">
            <v>SY</v>
          </cell>
        </row>
        <row r="240">
          <cell r="A240">
            <v>490.01049999999998</v>
          </cell>
          <cell r="B240" t="str">
            <v>Salvaged Asphaltic Pavement</v>
          </cell>
          <cell r="C240" t="str">
            <v>TON</v>
          </cell>
        </row>
        <row r="241">
          <cell r="A241">
            <v>490.02</v>
          </cell>
          <cell r="B241" t="str">
            <v>Salvaged Asphaltic Pavement Milling</v>
          </cell>
          <cell r="C241" t="str">
            <v>SY</v>
          </cell>
        </row>
        <row r="242">
          <cell r="A242">
            <v>490.02050000000003</v>
          </cell>
          <cell r="B242" t="str">
            <v>Salvaged Asphaltic Pavement Milling</v>
          </cell>
          <cell r="C242" t="str">
            <v>TON</v>
          </cell>
        </row>
        <row r="243">
          <cell r="A243">
            <v>502.01</v>
          </cell>
          <cell r="B243" t="str">
            <v>Concrete Masonry Bridges</v>
          </cell>
          <cell r="C243" t="str">
            <v>CY</v>
          </cell>
        </row>
        <row r="244">
          <cell r="A244">
            <v>502.02</v>
          </cell>
          <cell r="B244" t="str">
            <v>Concrete Masonry Bridges HES</v>
          </cell>
          <cell r="C244" t="str">
            <v>CY</v>
          </cell>
        </row>
        <row r="245">
          <cell r="A245">
            <v>502.11</v>
          </cell>
          <cell r="B245" t="str">
            <v>Concrete Masonry Seal</v>
          </cell>
          <cell r="C245" t="str">
            <v>CY</v>
          </cell>
        </row>
        <row r="246">
          <cell r="A246">
            <v>502.2</v>
          </cell>
          <cell r="B246" t="str">
            <v>Compression Joint Sealer Preformed Elastomeric (width)</v>
          </cell>
          <cell r="C246" t="str">
            <v>LF</v>
          </cell>
        </row>
        <row r="247">
          <cell r="A247">
            <v>502.31</v>
          </cell>
          <cell r="B247" t="str">
            <v>Expansion Device (structure)</v>
          </cell>
          <cell r="C247" t="str">
            <v>LS</v>
          </cell>
        </row>
        <row r="248">
          <cell r="A248">
            <v>502.32</v>
          </cell>
          <cell r="B248" t="str">
            <v>Protective Surface Treatment</v>
          </cell>
          <cell r="C248" t="str">
            <v>SY</v>
          </cell>
        </row>
        <row r="249">
          <cell r="A249">
            <v>502.50020000000001</v>
          </cell>
          <cell r="B249" t="str">
            <v>Masonry Anchors Type L No. 4 Bars</v>
          </cell>
          <cell r="C249" t="str">
            <v>EACH</v>
          </cell>
        </row>
        <row r="250">
          <cell r="A250">
            <v>502.50049999999999</v>
          </cell>
          <cell r="B250" t="str">
            <v>Masonry Anchors Type L No. 5 Bars</v>
          </cell>
          <cell r="C250" t="str">
            <v>EACH</v>
          </cell>
        </row>
        <row r="251">
          <cell r="A251">
            <v>502.50099999999998</v>
          </cell>
          <cell r="B251" t="str">
            <v>Masonry Anchors Type L No. 6 Bars</v>
          </cell>
          <cell r="C251" t="str">
            <v>EACH</v>
          </cell>
        </row>
        <row r="252">
          <cell r="A252">
            <v>502.50150000000002</v>
          </cell>
          <cell r="B252" t="str">
            <v>Masonry Anchors Type L No. 7 Bars</v>
          </cell>
          <cell r="C252" t="str">
            <v>EACH</v>
          </cell>
        </row>
        <row r="253">
          <cell r="A253">
            <v>502.50200000000001</v>
          </cell>
          <cell r="B253" t="str">
            <v>Masonry Anchors Type L No. 8 Bars</v>
          </cell>
          <cell r="C253" t="str">
            <v>EACH</v>
          </cell>
        </row>
        <row r="254">
          <cell r="A254">
            <v>502.5025</v>
          </cell>
          <cell r="B254" t="str">
            <v>Masonry Anchors Type L No. 9 Bars</v>
          </cell>
          <cell r="C254" t="str">
            <v>EACH</v>
          </cell>
        </row>
        <row r="255">
          <cell r="A255">
            <v>502.61020000000002</v>
          </cell>
          <cell r="B255" t="str">
            <v>Masonry Anchors Type S 1/2-Inch</v>
          </cell>
          <cell r="C255" t="str">
            <v>EACH</v>
          </cell>
        </row>
        <row r="256">
          <cell r="A256">
            <v>502.6105</v>
          </cell>
          <cell r="B256" t="str">
            <v>Masonry Anchors Type S 5/8-Inch</v>
          </cell>
          <cell r="C256" t="str">
            <v>EACH</v>
          </cell>
        </row>
        <row r="257">
          <cell r="A257">
            <v>502.61099999999999</v>
          </cell>
          <cell r="B257" t="str">
            <v>Masonry Anchors Type S 3/4-Inch</v>
          </cell>
          <cell r="C257" t="str">
            <v>EACH</v>
          </cell>
        </row>
        <row r="258">
          <cell r="A258">
            <v>502.61149999999998</v>
          </cell>
          <cell r="B258" t="str">
            <v>Masonry Anchors Type S 7/8-Inch</v>
          </cell>
          <cell r="C258" t="str">
            <v>EACH</v>
          </cell>
        </row>
        <row r="259">
          <cell r="A259">
            <v>502.61200000000002</v>
          </cell>
          <cell r="B259" t="str">
            <v>Masonry Anchors Type S 1-Inch</v>
          </cell>
          <cell r="C259" t="str">
            <v>EACH</v>
          </cell>
        </row>
        <row r="260">
          <cell r="A260">
            <v>502.61250000000001</v>
          </cell>
          <cell r="B260" t="str">
            <v>Masonry Anchors Type S 1 1/8-Inch</v>
          </cell>
          <cell r="C260" t="str">
            <v>EACH</v>
          </cell>
        </row>
        <row r="261">
          <cell r="A261">
            <v>502.65</v>
          </cell>
          <cell r="B261" t="str">
            <v>Protective Coating Clear</v>
          </cell>
          <cell r="C261" t="str">
            <v>GAL</v>
          </cell>
        </row>
        <row r="262">
          <cell r="A262">
            <v>503.01280000000003</v>
          </cell>
          <cell r="B262" t="str">
            <v>Prestressed Girder Type I 28-Inch</v>
          </cell>
          <cell r="C262" t="str">
            <v>LF</v>
          </cell>
        </row>
        <row r="263">
          <cell r="A263">
            <v>503.0136</v>
          </cell>
          <cell r="B263" t="str">
            <v>Prestressed Girder Type I 36-Inch</v>
          </cell>
          <cell r="C263" t="str">
            <v>LF</v>
          </cell>
        </row>
        <row r="264">
          <cell r="A264">
            <v>503.01369999999997</v>
          </cell>
          <cell r="B264" t="str">
            <v>Prestressed Girder Type I 36W-Inch</v>
          </cell>
          <cell r="C264" t="str">
            <v>LF</v>
          </cell>
        </row>
        <row r="265">
          <cell r="A265">
            <v>503.0145</v>
          </cell>
          <cell r="B265" t="str">
            <v>Prestressed Girder Type I 45-Inch</v>
          </cell>
          <cell r="C265" t="str">
            <v>LF</v>
          </cell>
        </row>
        <row r="266">
          <cell r="A266">
            <v>503.01459999999997</v>
          </cell>
          <cell r="B266" t="str">
            <v>Prestressed Girder Type I 45W-Inch</v>
          </cell>
          <cell r="C266" t="str">
            <v>LF</v>
          </cell>
        </row>
        <row r="267">
          <cell r="A267">
            <v>503.0154</v>
          </cell>
          <cell r="B267" t="str">
            <v>Prestressed Girder Type I 54-Inch</v>
          </cell>
          <cell r="C267" t="str">
            <v>LF</v>
          </cell>
        </row>
        <row r="268">
          <cell r="A268">
            <v>503.01549999999997</v>
          </cell>
          <cell r="B268" t="str">
            <v>Prestressed Girder Type I 54W-Inch</v>
          </cell>
          <cell r="C268" t="str">
            <v>LF</v>
          </cell>
        </row>
        <row r="269">
          <cell r="A269">
            <v>503.017</v>
          </cell>
          <cell r="B269" t="str">
            <v>Prestressed Girder Type I 70-Inch</v>
          </cell>
          <cell r="C269" t="str">
            <v>LF</v>
          </cell>
        </row>
        <row r="270">
          <cell r="A270">
            <v>503.0172</v>
          </cell>
          <cell r="B270" t="str">
            <v>Prestressed Girder Type I 72W-Inch</v>
          </cell>
          <cell r="C270" t="str">
            <v>LF</v>
          </cell>
        </row>
        <row r="271">
          <cell r="A271">
            <v>503.01819999999998</v>
          </cell>
          <cell r="B271" t="str">
            <v>Prestressed Girder Type I 82W-Inch</v>
          </cell>
          <cell r="C271" t="str">
            <v>LF</v>
          </cell>
        </row>
        <row r="272">
          <cell r="A272">
            <v>503.02170000000001</v>
          </cell>
          <cell r="B272" t="str">
            <v>Prestressed Girder Box Type 17-Inch</v>
          </cell>
          <cell r="C272" t="str">
            <v>LF</v>
          </cell>
        </row>
        <row r="273">
          <cell r="A273">
            <v>503.02210000000002</v>
          </cell>
          <cell r="B273" t="str">
            <v>Prestressed Girder Box Type 21-Inch</v>
          </cell>
          <cell r="C273" t="str">
            <v>LF</v>
          </cell>
        </row>
        <row r="274">
          <cell r="A274">
            <v>503.02269999999999</v>
          </cell>
          <cell r="B274" t="str">
            <v>Prestressed Girder Box Type 27-Inch</v>
          </cell>
          <cell r="C274" t="str">
            <v>LF</v>
          </cell>
        </row>
        <row r="275">
          <cell r="A275">
            <v>503.02330000000001</v>
          </cell>
          <cell r="B275" t="str">
            <v>Prestressed Girder Box Type 33-Inch</v>
          </cell>
          <cell r="C275" t="str">
            <v>LF</v>
          </cell>
        </row>
        <row r="276">
          <cell r="A276">
            <v>503.02420000000001</v>
          </cell>
          <cell r="B276" t="str">
            <v>Prestressed Girder Box Type 42-Inch</v>
          </cell>
          <cell r="C276" t="str">
            <v>LF</v>
          </cell>
        </row>
        <row r="277">
          <cell r="A277">
            <v>503.03120000000001</v>
          </cell>
          <cell r="B277" t="str">
            <v>Prestressed Girder Slab Type 12-Inch</v>
          </cell>
          <cell r="C277" t="str">
            <v>LF</v>
          </cell>
        </row>
        <row r="278">
          <cell r="A278">
            <v>504.01</v>
          </cell>
          <cell r="B278" t="str">
            <v>Concrete Masonry Culverts</v>
          </cell>
          <cell r="C278" t="str">
            <v>CY</v>
          </cell>
        </row>
        <row r="279">
          <cell r="A279">
            <v>504.02</v>
          </cell>
          <cell r="B279" t="str">
            <v>Concrete Masonry Culverts HES</v>
          </cell>
          <cell r="C279" t="str">
            <v>CY</v>
          </cell>
        </row>
        <row r="280">
          <cell r="A280">
            <v>504.05</v>
          </cell>
          <cell r="B280" t="str">
            <v>Concrete Masonry Retaining Walls</v>
          </cell>
          <cell r="C280" t="str">
            <v>CY</v>
          </cell>
        </row>
        <row r="281">
          <cell r="A281">
            <v>504.06</v>
          </cell>
          <cell r="B281" t="str">
            <v>Concrete Masonry Retaining Walls HES</v>
          </cell>
          <cell r="C281" t="str">
            <v>CY</v>
          </cell>
        </row>
        <row r="282">
          <cell r="A282">
            <v>504.09</v>
          </cell>
          <cell r="B282" t="str">
            <v>Concrete Masonry Endwalls</v>
          </cell>
          <cell r="C282" t="str">
            <v>CY</v>
          </cell>
        </row>
        <row r="283">
          <cell r="A283">
            <v>505.01049999999998</v>
          </cell>
          <cell r="B283" t="str">
            <v>Bar Steel Reinforcement Bridges</v>
          </cell>
          <cell r="C283" t="str">
            <v>LB</v>
          </cell>
        </row>
        <row r="284">
          <cell r="A284">
            <v>505.01100000000002</v>
          </cell>
          <cell r="B284" t="str">
            <v>Bar Steel Reinforcement Culverts</v>
          </cell>
          <cell r="C284" t="str">
            <v>LB</v>
          </cell>
        </row>
        <row r="285">
          <cell r="A285">
            <v>505.01150000000001</v>
          </cell>
          <cell r="B285" t="str">
            <v>Bar Steel Reinforcement Retaining Walls</v>
          </cell>
          <cell r="C285" t="str">
            <v>LB</v>
          </cell>
        </row>
        <row r="286">
          <cell r="A286">
            <v>505.04050000000001</v>
          </cell>
          <cell r="B286" t="str">
            <v>Bar Steel Reinforcement HS Bridges</v>
          </cell>
          <cell r="C286" t="str">
            <v>LB</v>
          </cell>
        </row>
        <row r="287">
          <cell r="A287">
            <v>505.041</v>
          </cell>
          <cell r="B287" t="str">
            <v>Bar Steel Reinforcement HS Culverts</v>
          </cell>
          <cell r="C287" t="str">
            <v>LB</v>
          </cell>
        </row>
        <row r="288">
          <cell r="A288">
            <v>505.04149999999998</v>
          </cell>
          <cell r="B288" t="str">
            <v>Bar Steel Reinforcement HS Retaining Walls</v>
          </cell>
          <cell r="C288" t="str">
            <v>LB</v>
          </cell>
        </row>
        <row r="289">
          <cell r="A289">
            <v>505.06049999999999</v>
          </cell>
          <cell r="B289" t="str">
            <v>Bar Steel Reinforcement HS Coated Bridges</v>
          </cell>
          <cell r="C289" t="str">
            <v>LB</v>
          </cell>
        </row>
        <row r="290">
          <cell r="A290">
            <v>505.06099999999998</v>
          </cell>
          <cell r="B290" t="str">
            <v>Bar Steel Reinforcement HS Coated Culverts</v>
          </cell>
          <cell r="C290" t="str">
            <v>LB</v>
          </cell>
        </row>
        <row r="291">
          <cell r="A291">
            <v>505.06150000000002</v>
          </cell>
          <cell r="B291" t="str">
            <v>Bar Steel Reinforcement HS Coated Retaining Walls</v>
          </cell>
          <cell r="C291" t="str">
            <v>LB</v>
          </cell>
        </row>
        <row r="292">
          <cell r="A292">
            <v>505.09039999999999</v>
          </cell>
          <cell r="B292" t="str">
            <v>Bar Couplers No. 4</v>
          </cell>
          <cell r="C292" t="str">
            <v>EACH</v>
          </cell>
        </row>
        <row r="293">
          <cell r="A293">
            <v>505.09050000000002</v>
          </cell>
          <cell r="B293" t="str">
            <v>Bar Couplers No. 5</v>
          </cell>
          <cell r="C293" t="str">
            <v>EACH</v>
          </cell>
        </row>
        <row r="294">
          <cell r="A294">
            <v>505.09059999999999</v>
          </cell>
          <cell r="B294" t="str">
            <v>Bar Couplers No. 6</v>
          </cell>
          <cell r="C294" t="str">
            <v>EACH</v>
          </cell>
        </row>
        <row r="295">
          <cell r="A295">
            <v>505.09070000000003</v>
          </cell>
          <cell r="B295" t="str">
            <v>Bar Couplers No. 7</v>
          </cell>
          <cell r="C295" t="str">
            <v>EACH</v>
          </cell>
        </row>
        <row r="296">
          <cell r="A296">
            <v>505.0908</v>
          </cell>
          <cell r="B296" t="str">
            <v>Bar Couplers No. 8</v>
          </cell>
          <cell r="C296" t="str">
            <v>EACH</v>
          </cell>
        </row>
        <row r="297">
          <cell r="A297">
            <v>505.09089999999998</v>
          </cell>
          <cell r="B297" t="str">
            <v>Bar Couplers No. 9</v>
          </cell>
          <cell r="C297" t="str">
            <v>EACH</v>
          </cell>
        </row>
        <row r="298">
          <cell r="A298">
            <v>505.09100000000001</v>
          </cell>
          <cell r="B298" t="str">
            <v>Bar Couplers No. 10</v>
          </cell>
          <cell r="C298" t="str">
            <v>EACH</v>
          </cell>
        </row>
        <row r="299">
          <cell r="A299">
            <v>505.09109999999998</v>
          </cell>
          <cell r="B299" t="str">
            <v>Bar Couplers No. 11</v>
          </cell>
          <cell r="C299" t="str">
            <v>EACH</v>
          </cell>
        </row>
        <row r="300">
          <cell r="A300">
            <v>506.01049999999998</v>
          </cell>
          <cell r="B300" t="str">
            <v>Structural Steel Carbon</v>
          </cell>
          <cell r="C300" t="str">
            <v>LB</v>
          </cell>
        </row>
        <row r="301">
          <cell r="A301">
            <v>506.06049999999999</v>
          </cell>
          <cell r="B301" t="str">
            <v>Structural Steel HS</v>
          </cell>
          <cell r="C301" t="str">
            <v>LB</v>
          </cell>
        </row>
        <row r="302">
          <cell r="A302">
            <v>506.10050000000001</v>
          </cell>
          <cell r="B302" t="str">
            <v>Castings Steel</v>
          </cell>
          <cell r="C302" t="str">
            <v>LB</v>
          </cell>
        </row>
        <row r="303">
          <cell r="A303">
            <v>506.101</v>
          </cell>
          <cell r="B303" t="str">
            <v>Castings Bronze</v>
          </cell>
          <cell r="C303" t="str">
            <v>LB</v>
          </cell>
        </row>
        <row r="304">
          <cell r="A304">
            <v>506.1105</v>
          </cell>
          <cell r="B304" t="str">
            <v>Forgings Steel Carbon</v>
          </cell>
          <cell r="C304" t="str">
            <v>LB</v>
          </cell>
        </row>
        <row r="305">
          <cell r="A305">
            <v>506.14049999999997</v>
          </cell>
          <cell r="B305" t="str">
            <v>Lubricated Plates Bronze</v>
          </cell>
          <cell r="C305" t="str">
            <v>LB</v>
          </cell>
        </row>
        <row r="306">
          <cell r="A306">
            <v>506.15050000000002</v>
          </cell>
          <cell r="B306" t="str">
            <v>Sheet Copper</v>
          </cell>
          <cell r="C306" t="str">
            <v>LB</v>
          </cell>
        </row>
        <row r="307">
          <cell r="A307">
            <v>506.15100000000001</v>
          </cell>
          <cell r="B307" t="str">
            <v>Sheet Zinc</v>
          </cell>
          <cell r="C307" t="str">
            <v>LB</v>
          </cell>
        </row>
        <row r="308">
          <cell r="A308">
            <v>506.21050000000002</v>
          </cell>
          <cell r="B308" t="str">
            <v>Bearing Pads</v>
          </cell>
          <cell r="C308" t="str">
            <v>SF</v>
          </cell>
        </row>
        <row r="309">
          <cell r="A309">
            <v>506.26049999999998</v>
          </cell>
          <cell r="B309" t="str">
            <v>Bearing Pads Elastomeric Non-Laminated</v>
          </cell>
          <cell r="C309" t="str">
            <v>EACH</v>
          </cell>
        </row>
        <row r="310">
          <cell r="A310">
            <v>506.26100000000002</v>
          </cell>
          <cell r="B310" t="str">
            <v>Bearing Pads Elastomeric Laminated</v>
          </cell>
          <cell r="C310" t="str">
            <v>EACH</v>
          </cell>
        </row>
        <row r="311">
          <cell r="A311">
            <v>506.3005</v>
          </cell>
          <cell r="B311" t="str">
            <v>Welded Stud Shear Connectors 7/8x4-Inch</v>
          </cell>
          <cell r="C311" t="str">
            <v>EACH</v>
          </cell>
        </row>
        <row r="312">
          <cell r="A312">
            <v>506.30099999999999</v>
          </cell>
          <cell r="B312" t="str">
            <v>Welded Stud Shear Connectors 7/8x5-Inch</v>
          </cell>
          <cell r="C312" t="str">
            <v>EACH</v>
          </cell>
        </row>
        <row r="313">
          <cell r="A313">
            <v>506.30149999999998</v>
          </cell>
          <cell r="B313" t="str">
            <v>Welded Stud Shear Connectors 7/8x6-Inch</v>
          </cell>
          <cell r="C313" t="str">
            <v>EACH</v>
          </cell>
        </row>
        <row r="314">
          <cell r="A314">
            <v>506.30200000000002</v>
          </cell>
          <cell r="B314" t="str">
            <v>Welded Stud Shear Connectors 7/8x7-Inch</v>
          </cell>
          <cell r="C314" t="str">
            <v>EACH</v>
          </cell>
        </row>
        <row r="315">
          <cell r="A315">
            <v>506.30250000000001</v>
          </cell>
          <cell r="B315" t="str">
            <v>Welded Stud Shear Connectors 7/8x8-Inch</v>
          </cell>
          <cell r="C315" t="str">
            <v>EACH</v>
          </cell>
        </row>
        <row r="316">
          <cell r="A316">
            <v>506.4</v>
          </cell>
          <cell r="B316" t="str">
            <v>Steel Diaphragms (structure)</v>
          </cell>
          <cell r="C316" t="str">
            <v>EACH</v>
          </cell>
        </row>
        <row r="317">
          <cell r="A317">
            <v>506.5</v>
          </cell>
          <cell r="B317" t="str">
            <v>Bearing Assemblies Fixed (structure)</v>
          </cell>
          <cell r="C317" t="str">
            <v>EACH</v>
          </cell>
        </row>
        <row r="318">
          <cell r="A318">
            <v>506.6</v>
          </cell>
          <cell r="B318" t="str">
            <v>Bearing Assemblies Expansion (structure)</v>
          </cell>
          <cell r="C318" t="str">
            <v>EACH</v>
          </cell>
        </row>
        <row r="319">
          <cell r="A319">
            <v>507.02</v>
          </cell>
          <cell r="B319" t="str">
            <v>Treated Lumber and Timber</v>
          </cell>
          <cell r="C319" t="str">
            <v>MBM</v>
          </cell>
        </row>
        <row r="320">
          <cell r="A320">
            <v>508.01</v>
          </cell>
          <cell r="B320" t="str">
            <v>Piling Test Untreated Timber (structure)</v>
          </cell>
          <cell r="C320" t="str">
            <v>LS</v>
          </cell>
        </row>
        <row r="321">
          <cell r="A321">
            <v>508.1</v>
          </cell>
          <cell r="B321" t="str">
            <v>Piling Untreated Timber Delivered</v>
          </cell>
          <cell r="C321" t="str">
            <v>LF</v>
          </cell>
        </row>
        <row r="322">
          <cell r="A322">
            <v>508.13</v>
          </cell>
          <cell r="B322" t="str">
            <v>Piling Untreated Timber Driven</v>
          </cell>
          <cell r="C322" t="str">
            <v>LF</v>
          </cell>
        </row>
        <row r="323">
          <cell r="A323">
            <v>508.16</v>
          </cell>
          <cell r="B323" t="str">
            <v>Piling Treated Timber Delivered</v>
          </cell>
          <cell r="C323" t="str">
            <v>LF</v>
          </cell>
        </row>
        <row r="324">
          <cell r="A324">
            <v>508.2</v>
          </cell>
          <cell r="B324" t="str">
            <v>Piling Treated Timber Driven</v>
          </cell>
          <cell r="C324" t="str">
            <v>LF</v>
          </cell>
        </row>
        <row r="325">
          <cell r="A325">
            <v>508.3</v>
          </cell>
          <cell r="B325" t="str">
            <v>Piling Test Treated Timber (structure)</v>
          </cell>
          <cell r="C325" t="str">
            <v>LS</v>
          </cell>
        </row>
        <row r="326">
          <cell r="A326">
            <v>508.4</v>
          </cell>
          <cell r="B326" t="str">
            <v>Preboring Timber Piling</v>
          </cell>
          <cell r="C326" t="str">
            <v>LF</v>
          </cell>
        </row>
        <row r="327">
          <cell r="A327">
            <v>509.02</v>
          </cell>
          <cell r="B327" t="str">
            <v>Preparation Approaches</v>
          </cell>
          <cell r="C327" t="str">
            <v>SY</v>
          </cell>
        </row>
        <row r="328">
          <cell r="A328">
            <v>509.0301</v>
          </cell>
          <cell r="B328" t="str">
            <v>Preparation Decks Type 1</v>
          </cell>
          <cell r="C328" t="str">
            <v>SY</v>
          </cell>
        </row>
        <row r="329">
          <cell r="A329">
            <v>509.03019999999998</v>
          </cell>
          <cell r="B329" t="str">
            <v>Preparation Decks Type 2</v>
          </cell>
          <cell r="C329" t="str">
            <v>SY</v>
          </cell>
        </row>
        <row r="330">
          <cell r="A330">
            <v>509.05</v>
          </cell>
          <cell r="B330" t="str">
            <v>Cleaning Decks</v>
          </cell>
          <cell r="C330" t="str">
            <v>SY</v>
          </cell>
        </row>
        <row r="331">
          <cell r="A331">
            <v>509.06</v>
          </cell>
          <cell r="B331" t="str">
            <v>Cleaning Approaches</v>
          </cell>
          <cell r="C331" t="str">
            <v>SY</v>
          </cell>
        </row>
        <row r="332">
          <cell r="A332">
            <v>509.1</v>
          </cell>
          <cell r="B332" t="str">
            <v>Joint Repair</v>
          </cell>
          <cell r="C332" t="str">
            <v>SY</v>
          </cell>
        </row>
        <row r="333">
          <cell r="A333">
            <v>509.12</v>
          </cell>
          <cell r="B333" t="str">
            <v>Curb Repair</v>
          </cell>
          <cell r="C333" t="str">
            <v>LF</v>
          </cell>
        </row>
        <row r="334">
          <cell r="A334">
            <v>509.15</v>
          </cell>
          <cell r="B334" t="str">
            <v>Concrete Surface Repair</v>
          </cell>
          <cell r="C334" t="str">
            <v>SF</v>
          </cell>
        </row>
        <row r="335">
          <cell r="A335">
            <v>509.2</v>
          </cell>
          <cell r="B335" t="str">
            <v>Full-Depth Deck Repair</v>
          </cell>
          <cell r="C335" t="str">
            <v>SY</v>
          </cell>
        </row>
        <row r="336">
          <cell r="A336">
            <v>509.25</v>
          </cell>
          <cell r="B336" t="str">
            <v>Concrete Masonry Overlay Decks</v>
          </cell>
          <cell r="C336" t="str">
            <v>CY</v>
          </cell>
        </row>
        <row r="337">
          <cell r="A337">
            <v>509.26</v>
          </cell>
          <cell r="B337" t="str">
            <v>Concrete Masonry Overlay Approaches</v>
          </cell>
          <cell r="C337" t="str">
            <v>CY</v>
          </cell>
        </row>
        <row r="338">
          <cell r="A338">
            <v>510.20049999999998</v>
          </cell>
          <cell r="B338" t="str">
            <v>Preboring CIP Concrete Piling</v>
          </cell>
          <cell r="C338" t="str">
            <v>LF</v>
          </cell>
        </row>
        <row r="339">
          <cell r="A339">
            <v>510.3021</v>
          </cell>
          <cell r="B339" t="str">
            <v>Piling CIP Concrete Delivered and Driven 10 3/4 x 0.219-Inch</v>
          </cell>
          <cell r="C339" t="str">
            <v>LF</v>
          </cell>
        </row>
        <row r="340">
          <cell r="A340">
            <v>510.3023</v>
          </cell>
          <cell r="B340" t="str">
            <v>Piling CIP Concrete Delivered and Driven 12 3/4 x 0.219-Inch</v>
          </cell>
          <cell r="C340" t="str">
            <v>LF</v>
          </cell>
        </row>
        <row r="341">
          <cell r="A341">
            <v>510.30239999999998</v>
          </cell>
          <cell r="B341" t="str">
            <v>Piling CIP Concrete Delivered and Driven 14 x 0.219-Inch</v>
          </cell>
          <cell r="C341" t="str">
            <v>LF</v>
          </cell>
        </row>
        <row r="342">
          <cell r="A342">
            <v>510.30259999999998</v>
          </cell>
          <cell r="B342" t="str">
            <v>Piling CIP Concrete Delivered and Driven 16 x 0.219-Inch</v>
          </cell>
          <cell r="C342" t="str">
            <v>LF</v>
          </cell>
        </row>
        <row r="343">
          <cell r="A343">
            <v>510.303</v>
          </cell>
          <cell r="B343" t="str">
            <v>Piling CIP Concrete Delivered and Driven 10 3/4 x 0.25-Inch</v>
          </cell>
          <cell r="C343" t="str">
            <v>LF</v>
          </cell>
        </row>
        <row r="344">
          <cell r="A344">
            <v>510.30329999999998</v>
          </cell>
          <cell r="B344" t="str">
            <v>Piling CIP Concrete Delivered and Driven 12 3/4 x 0.25-Inch</v>
          </cell>
          <cell r="C344" t="str">
            <v>LF</v>
          </cell>
        </row>
        <row r="345">
          <cell r="A345">
            <v>510.30340000000001</v>
          </cell>
          <cell r="B345" t="str">
            <v>Piling CIP Concrete Delivered and Driven 14 x 0.25-Inch</v>
          </cell>
          <cell r="C345" t="str">
            <v>LF</v>
          </cell>
        </row>
        <row r="346">
          <cell r="A346">
            <v>510.30360000000002</v>
          </cell>
          <cell r="B346" t="str">
            <v>Piling CIP Concrete Delivered and Driven 16 x 0.25-Inch</v>
          </cell>
          <cell r="C346" t="str">
            <v>LF</v>
          </cell>
        </row>
        <row r="347">
          <cell r="A347">
            <v>510.30399999999997</v>
          </cell>
          <cell r="B347" t="str">
            <v>Piling CIP Concrete Delivered and Driven 10 3/4 x 0.365-Inch</v>
          </cell>
          <cell r="C347" t="str">
            <v>LF</v>
          </cell>
        </row>
        <row r="348">
          <cell r="A348">
            <v>510.30430000000001</v>
          </cell>
          <cell r="B348" t="str">
            <v>Piling CIP Concrete Delivered and Driven 12 3/4 x 0.375-Inch</v>
          </cell>
          <cell r="C348" t="str">
            <v>LF</v>
          </cell>
        </row>
        <row r="349">
          <cell r="A349">
            <v>510.30439999999999</v>
          </cell>
          <cell r="B349" t="str">
            <v>Piling CIP Concrete Delivered and Driven 14 x 0.375-Inch</v>
          </cell>
          <cell r="C349" t="str">
            <v>LF</v>
          </cell>
        </row>
        <row r="350">
          <cell r="A350">
            <v>510.30459999999999</v>
          </cell>
          <cell r="B350" t="str">
            <v>Piling CIP Concrete Delivered and Driven 16 x 0.375-Inch</v>
          </cell>
          <cell r="C350" t="str">
            <v>LF</v>
          </cell>
        </row>
        <row r="351">
          <cell r="A351">
            <v>510.30500000000001</v>
          </cell>
          <cell r="B351" t="str">
            <v>Piling CIP Concrete Delivered and Driven 10 3/4 x 0.5-Inch</v>
          </cell>
          <cell r="C351" t="str">
            <v>LF</v>
          </cell>
        </row>
        <row r="352">
          <cell r="A352">
            <v>510.30529999999999</v>
          </cell>
          <cell r="B352" t="str">
            <v>Piling CIP Concrete Delivered and Driven 12 3/4 x 0.5-Inch</v>
          </cell>
          <cell r="C352" t="str">
            <v>LF</v>
          </cell>
        </row>
        <row r="353">
          <cell r="A353">
            <v>510.30540000000002</v>
          </cell>
          <cell r="B353" t="str">
            <v>Piling CIP Concrete Delivered and Driven 14 x 0.5-Inch</v>
          </cell>
          <cell r="C353" t="str">
            <v>LF</v>
          </cell>
        </row>
        <row r="354">
          <cell r="A354">
            <v>510.30560000000003</v>
          </cell>
          <cell r="B354" t="str">
            <v>Piling CIP Concrete Delivered and Driven 16 x 0.5-Inch</v>
          </cell>
          <cell r="C354" t="str">
            <v>LF</v>
          </cell>
        </row>
        <row r="355">
          <cell r="A355">
            <v>510.5</v>
          </cell>
          <cell r="B355" t="str">
            <v>Pile Redriving</v>
          </cell>
          <cell r="C355" t="str">
            <v>EACH</v>
          </cell>
        </row>
        <row r="356">
          <cell r="A356">
            <v>511.21050000000002</v>
          </cell>
          <cell r="B356" t="str">
            <v>Piling Steel Delivered and Driven HP 10-Inch x 42 LB</v>
          </cell>
          <cell r="C356" t="str">
            <v>LF</v>
          </cell>
        </row>
        <row r="357">
          <cell r="A357">
            <v>511.21100000000001</v>
          </cell>
          <cell r="B357" t="str">
            <v>Piling Steel Delivered and Driven HP 12-Inch x 53 LB</v>
          </cell>
          <cell r="C357" t="str">
            <v>LF</v>
          </cell>
        </row>
        <row r="358">
          <cell r="A358">
            <v>511.2115</v>
          </cell>
          <cell r="B358" t="str">
            <v>Piling Steel Delivered and Driven HP 12-Inch x 74 LB</v>
          </cell>
          <cell r="C358" t="str">
            <v>LF</v>
          </cell>
        </row>
        <row r="359">
          <cell r="A359">
            <v>511.21199999999999</v>
          </cell>
          <cell r="B359" t="str">
            <v>Piling Steel Delivered and Driven HP 14-Inch x 73 LB</v>
          </cell>
          <cell r="C359" t="str">
            <v>LF</v>
          </cell>
        </row>
        <row r="360">
          <cell r="A360">
            <v>511.3</v>
          </cell>
          <cell r="B360" t="str">
            <v>Pile Points</v>
          </cell>
          <cell r="C360" t="str">
            <v>EACH</v>
          </cell>
        </row>
        <row r="361">
          <cell r="A361">
            <v>511.6</v>
          </cell>
          <cell r="B361" t="str">
            <v>Piling Steel Preboring</v>
          </cell>
          <cell r="C361" t="str">
            <v>LF</v>
          </cell>
        </row>
        <row r="362">
          <cell r="A362">
            <v>512.04999999999995</v>
          </cell>
          <cell r="B362" t="str">
            <v>Piling Steel Sheet Permanent Delivered</v>
          </cell>
          <cell r="C362" t="str">
            <v>SF</v>
          </cell>
        </row>
        <row r="363">
          <cell r="A363">
            <v>512.05999999999995</v>
          </cell>
          <cell r="B363" t="str">
            <v>Piling Steel Sheet Permanent Driven</v>
          </cell>
          <cell r="C363" t="str">
            <v>SF</v>
          </cell>
        </row>
        <row r="364">
          <cell r="A364">
            <v>512.1</v>
          </cell>
          <cell r="B364" t="str">
            <v>Piling Steel Sheet Temporary</v>
          </cell>
          <cell r="C364" t="str">
            <v>SF</v>
          </cell>
        </row>
        <row r="365">
          <cell r="A365">
            <v>513.20000000000005</v>
          </cell>
          <cell r="B365" t="str">
            <v>Railing Pipe (structure)</v>
          </cell>
          <cell r="C365" t="str">
            <v>LS</v>
          </cell>
        </row>
        <row r="366">
          <cell r="A366">
            <v>513.40499999999997</v>
          </cell>
          <cell r="B366" t="str">
            <v>Railing Tubular Type F (structure)</v>
          </cell>
          <cell r="C366" t="str">
            <v>LS</v>
          </cell>
        </row>
        <row r="367">
          <cell r="A367">
            <v>513.40520000000004</v>
          </cell>
          <cell r="B367" t="str">
            <v>Railing Tubular Type F-4 Modified (structure)</v>
          </cell>
          <cell r="C367" t="str">
            <v>LS</v>
          </cell>
        </row>
        <row r="368">
          <cell r="A368">
            <v>513.40530000000001</v>
          </cell>
          <cell r="B368" t="str">
            <v>Railing Tubular Type F-5 Modified (structure)</v>
          </cell>
          <cell r="C368" t="str">
            <v>LS</v>
          </cell>
        </row>
        <row r="369">
          <cell r="A369">
            <v>513.40549999999996</v>
          </cell>
          <cell r="B369" t="str">
            <v>Railing Tubular Type H (structure)</v>
          </cell>
          <cell r="C369" t="str">
            <v>LS</v>
          </cell>
        </row>
        <row r="370">
          <cell r="A370">
            <v>513.40599999999995</v>
          </cell>
          <cell r="B370" t="str">
            <v>Railing Tubular Type M (structure)</v>
          </cell>
          <cell r="C370" t="str">
            <v>LS</v>
          </cell>
        </row>
        <row r="371">
          <cell r="A371">
            <v>513.40650000000005</v>
          </cell>
          <cell r="B371" t="str">
            <v>Railing Tubular Type PF (structure)</v>
          </cell>
          <cell r="C371" t="str">
            <v>LS</v>
          </cell>
        </row>
        <row r="372">
          <cell r="A372">
            <v>513.40800000000002</v>
          </cell>
          <cell r="B372" t="str">
            <v>Railing Tubular Special (structure)</v>
          </cell>
          <cell r="C372" t="str">
            <v>LS</v>
          </cell>
        </row>
        <row r="373">
          <cell r="A373">
            <v>513.40899999999999</v>
          </cell>
          <cell r="B373" t="str">
            <v>Railing Tubular Screening (structure)</v>
          </cell>
          <cell r="C373" t="str">
            <v>LS</v>
          </cell>
        </row>
        <row r="374">
          <cell r="A374">
            <v>513.6</v>
          </cell>
          <cell r="B374" t="str">
            <v>Railing Steel (structure)</v>
          </cell>
          <cell r="C374" t="str">
            <v>LS</v>
          </cell>
        </row>
        <row r="375">
          <cell r="A375">
            <v>513.70050000000003</v>
          </cell>
          <cell r="B375" t="str">
            <v>Railing Steel Type C1 (structure)</v>
          </cell>
          <cell r="C375" t="str">
            <v>LS</v>
          </cell>
        </row>
        <row r="376">
          <cell r="A376">
            <v>513.70100000000002</v>
          </cell>
          <cell r="B376" t="str">
            <v>Railing Steel Type C2 (structure)</v>
          </cell>
          <cell r="C376" t="str">
            <v>LS</v>
          </cell>
        </row>
        <row r="377">
          <cell r="A377">
            <v>513.70150000000001</v>
          </cell>
          <cell r="B377" t="str">
            <v>Railing Steel Type C3 (structure)</v>
          </cell>
          <cell r="C377" t="str">
            <v>LS</v>
          </cell>
        </row>
        <row r="378">
          <cell r="A378">
            <v>513.702</v>
          </cell>
          <cell r="B378" t="str">
            <v>Railing Steel Type C4 (structure)</v>
          </cell>
          <cell r="C378" t="str">
            <v>LS</v>
          </cell>
        </row>
        <row r="379">
          <cell r="A379">
            <v>513.70249999999999</v>
          </cell>
          <cell r="B379" t="str">
            <v>Railing Steel Type C5 (structure)</v>
          </cell>
          <cell r="C379" t="str">
            <v>LS</v>
          </cell>
        </row>
        <row r="380">
          <cell r="A380">
            <v>513.70299999999997</v>
          </cell>
          <cell r="B380" t="str">
            <v>Railing Steel Type C6 (structure)</v>
          </cell>
          <cell r="C380" t="str">
            <v>LS</v>
          </cell>
        </row>
        <row r="381">
          <cell r="A381">
            <v>513.70500000000004</v>
          </cell>
          <cell r="B381" t="str">
            <v>Railing Steel Type W (structure)</v>
          </cell>
          <cell r="C381" t="str">
            <v>LS</v>
          </cell>
        </row>
        <row r="382">
          <cell r="A382">
            <v>513.70899999999995</v>
          </cell>
          <cell r="B382" t="str">
            <v>Railing Steel Special (structure)</v>
          </cell>
          <cell r="C382" t="str">
            <v>LS</v>
          </cell>
        </row>
        <row r="383">
          <cell r="A383">
            <v>514.04449999999997</v>
          </cell>
          <cell r="B383" t="str">
            <v>Floor Drains Type GC</v>
          </cell>
          <cell r="C383" t="str">
            <v>EACH</v>
          </cell>
        </row>
        <row r="384">
          <cell r="A384">
            <v>514.04600000000005</v>
          </cell>
          <cell r="B384" t="str">
            <v>Floor Drains Type H</v>
          </cell>
          <cell r="C384" t="str">
            <v>EACH</v>
          </cell>
        </row>
        <row r="385">
          <cell r="A385">
            <v>514.09</v>
          </cell>
          <cell r="B385" t="str">
            <v>Adjusting Floor Drains</v>
          </cell>
          <cell r="C385" t="str">
            <v>EACH</v>
          </cell>
        </row>
        <row r="386">
          <cell r="A386">
            <v>514.1</v>
          </cell>
          <cell r="B386" t="str">
            <v>Deck Drains (structure)</v>
          </cell>
          <cell r="C386" t="str">
            <v>LS</v>
          </cell>
        </row>
        <row r="387">
          <cell r="A387">
            <v>514.26250000000005</v>
          </cell>
          <cell r="B387" t="str">
            <v>Downspout 6-Inch</v>
          </cell>
          <cell r="C387" t="str">
            <v>LF</v>
          </cell>
        </row>
        <row r="388">
          <cell r="A388">
            <v>514.26080000000002</v>
          </cell>
          <cell r="B388" t="str">
            <v>Downspout 8-Inch</v>
          </cell>
          <cell r="C388" t="str">
            <v>LF</v>
          </cell>
        </row>
        <row r="389">
          <cell r="A389">
            <v>515.4</v>
          </cell>
          <cell r="B389" t="str">
            <v>Steel Grid Floor Open (inch)</v>
          </cell>
          <cell r="C389" t="str">
            <v>SF</v>
          </cell>
        </row>
        <row r="390">
          <cell r="A390">
            <v>515.5</v>
          </cell>
          <cell r="B390" t="str">
            <v>Steel Grid Floor Concrete Filled (inch)</v>
          </cell>
          <cell r="C390" t="str">
            <v>SF</v>
          </cell>
        </row>
        <row r="391">
          <cell r="A391">
            <v>516.01</v>
          </cell>
          <cell r="B391" t="str">
            <v>Dampproofing</v>
          </cell>
          <cell r="C391" t="str">
            <v>SY</v>
          </cell>
        </row>
        <row r="392">
          <cell r="A392">
            <v>516.04999999999995</v>
          </cell>
          <cell r="B392" t="str">
            <v>Rubberized Membrane Waterproofing</v>
          </cell>
          <cell r="C392" t="str">
            <v>SY</v>
          </cell>
        </row>
        <row r="393">
          <cell r="A393">
            <v>517.05999999999995</v>
          </cell>
          <cell r="B393" t="str">
            <v>Painting Epoxy System (structure)</v>
          </cell>
          <cell r="C393" t="str">
            <v>LS</v>
          </cell>
        </row>
        <row r="394">
          <cell r="A394">
            <v>518.01</v>
          </cell>
          <cell r="B394" t="str">
            <v>Rubble Masonry Mortar</v>
          </cell>
          <cell r="C394" t="str">
            <v>CY</v>
          </cell>
        </row>
        <row r="395">
          <cell r="A395">
            <v>518.02</v>
          </cell>
          <cell r="B395" t="str">
            <v>Rubble Masonry Dry</v>
          </cell>
          <cell r="C395" t="str">
            <v>CY</v>
          </cell>
        </row>
        <row r="396">
          <cell r="A396">
            <v>520.01120000000003</v>
          </cell>
          <cell r="B396" t="str">
            <v>Culvert Pipe Class III 12-Inch</v>
          </cell>
          <cell r="C396" t="str">
            <v>LF</v>
          </cell>
        </row>
        <row r="397">
          <cell r="A397">
            <v>520.01149999999996</v>
          </cell>
          <cell r="B397" t="str">
            <v>Culvert Pipe Class III 15-Inch</v>
          </cell>
          <cell r="C397" t="str">
            <v>LF</v>
          </cell>
        </row>
        <row r="398">
          <cell r="A398">
            <v>520.01179999999999</v>
          </cell>
          <cell r="B398" t="str">
            <v>Culvert Pipe Class III 18-Inch</v>
          </cell>
          <cell r="C398" t="str">
            <v>LF</v>
          </cell>
        </row>
        <row r="399">
          <cell r="A399">
            <v>520.01210000000003</v>
          </cell>
          <cell r="B399" t="str">
            <v>Culvert Pipe Class III 21-Inch</v>
          </cell>
          <cell r="C399" t="str">
            <v>LF</v>
          </cell>
        </row>
        <row r="400">
          <cell r="A400">
            <v>520.01239999999996</v>
          </cell>
          <cell r="B400" t="str">
            <v>Culvert Pipe Class III 24-Inch</v>
          </cell>
          <cell r="C400" t="str">
            <v>LF</v>
          </cell>
        </row>
        <row r="401">
          <cell r="A401">
            <v>520.01300000000003</v>
          </cell>
          <cell r="B401" t="str">
            <v>Culvert Pipe Class III 30-Inch</v>
          </cell>
          <cell r="C401" t="str">
            <v>LF</v>
          </cell>
        </row>
        <row r="402">
          <cell r="A402">
            <v>520.0136</v>
          </cell>
          <cell r="B402" t="str">
            <v>Culvert Pipe Class III 36-Inch</v>
          </cell>
          <cell r="C402" t="str">
            <v>LF</v>
          </cell>
        </row>
        <row r="403">
          <cell r="A403">
            <v>520.01419999999996</v>
          </cell>
          <cell r="B403" t="str">
            <v>Culvert Pipe Class III 42-Inch</v>
          </cell>
          <cell r="C403" t="str">
            <v>LF</v>
          </cell>
        </row>
        <row r="404">
          <cell r="A404">
            <v>520.01480000000004</v>
          </cell>
          <cell r="B404" t="str">
            <v>Culvert Pipe Class III 48-Inch</v>
          </cell>
          <cell r="C404" t="str">
            <v>LF</v>
          </cell>
        </row>
        <row r="405">
          <cell r="A405">
            <v>520.0154</v>
          </cell>
          <cell r="B405" t="str">
            <v>Culvert Pipe Class III 54-Inch</v>
          </cell>
          <cell r="C405" t="str">
            <v>LF</v>
          </cell>
        </row>
        <row r="406">
          <cell r="A406">
            <v>520.01599999999996</v>
          </cell>
          <cell r="B406" t="str">
            <v>Culvert Pipe Class III 60-Inch</v>
          </cell>
          <cell r="C406" t="str">
            <v>LF</v>
          </cell>
        </row>
        <row r="407">
          <cell r="A407">
            <v>520.0172</v>
          </cell>
          <cell r="B407" t="str">
            <v>Culvert Pipe Class III 72-Inch</v>
          </cell>
          <cell r="C407" t="str">
            <v>LF</v>
          </cell>
        </row>
        <row r="408">
          <cell r="A408">
            <v>520.01840000000004</v>
          </cell>
          <cell r="B408" t="str">
            <v>Culvert Pipe Class III 84-Inch</v>
          </cell>
          <cell r="C408" t="str">
            <v>LF</v>
          </cell>
        </row>
        <row r="409">
          <cell r="A409">
            <v>520.03120000000001</v>
          </cell>
          <cell r="B409" t="str">
            <v>Culvert Pipe Class IV 12-Inch</v>
          </cell>
          <cell r="C409" t="str">
            <v>LF</v>
          </cell>
        </row>
        <row r="410">
          <cell r="A410">
            <v>520.03150000000005</v>
          </cell>
          <cell r="B410" t="str">
            <v>Culvert Pipe Class IV 15-Inch</v>
          </cell>
          <cell r="C410" t="str">
            <v>LF</v>
          </cell>
        </row>
        <row r="411">
          <cell r="A411">
            <v>520.03179999999998</v>
          </cell>
          <cell r="B411" t="str">
            <v>Culvert Pipe Class IV 18-Inch</v>
          </cell>
          <cell r="C411" t="str">
            <v>LF</v>
          </cell>
        </row>
        <row r="412">
          <cell r="A412">
            <v>520.03210000000001</v>
          </cell>
          <cell r="B412" t="str">
            <v>Culvert Pipe Class IV 21-Inch</v>
          </cell>
          <cell r="C412" t="str">
            <v>LF</v>
          </cell>
        </row>
        <row r="413">
          <cell r="A413">
            <v>520.03240000000005</v>
          </cell>
          <cell r="B413" t="str">
            <v>Culvert Pipe Class IV 24-Inch</v>
          </cell>
          <cell r="C413" t="str">
            <v>LF</v>
          </cell>
        </row>
        <row r="414">
          <cell r="A414">
            <v>520.03300000000002</v>
          </cell>
          <cell r="B414" t="str">
            <v>Culvert Pipe Class IV 30-Inch</v>
          </cell>
          <cell r="C414" t="str">
            <v>LF</v>
          </cell>
        </row>
        <row r="415">
          <cell r="A415">
            <v>520.03359999999998</v>
          </cell>
          <cell r="B415" t="str">
            <v>Culvert Pipe Class IV 36-Inch</v>
          </cell>
          <cell r="C415" t="str">
            <v>LF</v>
          </cell>
        </row>
        <row r="416">
          <cell r="A416">
            <v>520.03420000000006</v>
          </cell>
          <cell r="B416" t="str">
            <v>Culvert Pipe Class IV 42-Inch</v>
          </cell>
          <cell r="C416" t="str">
            <v>LF</v>
          </cell>
        </row>
        <row r="417">
          <cell r="A417">
            <v>520.03480000000002</v>
          </cell>
          <cell r="B417" t="str">
            <v>Culvert Pipe Class IV 48-Inch</v>
          </cell>
          <cell r="C417" t="str">
            <v>LF</v>
          </cell>
        </row>
        <row r="418">
          <cell r="A418">
            <v>520.03539999999998</v>
          </cell>
          <cell r="B418" t="str">
            <v>Culvert Pipe Class IV 54-Inch</v>
          </cell>
          <cell r="C418" t="str">
            <v>LF</v>
          </cell>
        </row>
        <row r="419">
          <cell r="A419">
            <v>520.03599999999994</v>
          </cell>
          <cell r="B419" t="str">
            <v>Culvert Pipe Class IV 60-Inch</v>
          </cell>
          <cell r="C419" t="str">
            <v>LF</v>
          </cell>
        </row>
        <row r="420">
          <cell r="A420">
            <v>520.03719999999998</v>
          </cell>
          <cell r="B420" t="str">
            <v>Culvert Pipe Class IV 72-Inch</v>
          </cell>
          <cell r="C420" t="str">
            <v>LF</v>
          </cell>
        </row>
        <row r="421">
          <cell r="A421">
            <v>520.03840000000002</v>
          </cell>
          <cell r="B421" t="str">
            <v>Culvert Pipe Class IV 84-Inch</v>
          </cell>
          <cell r="C421" t="str">
            <v>LF</v>
          </cell>
        </row>
        <row r="422">
          <cell r="A422">
            <v>520.06119999999999</v>
          </cell>
          <cell r="B422" t="str">
            <v>Culvert Pipe Class V 12-Inch</v>
          </cell>
          <cell r="C422" t="str">
            <v>LF</v>
          </cell>
        </row>
        <row r="423">
          <cell r="A423">
            <v>520.06150000000002</v>
          </cell>
          <cell r="B423" t="str">
            <v>Culvert Pipe Class V 15-Inch</v>
          </cell>
          <cell r="C423" t="str">
            <v>LF</v>
          </cell>
        </row>
        <row r="424">
          <cell r="A424">
            <v>520.06179999999995</v>
          </cell>
          <cell r="B424" t="str">
            <v>Culvert Pipe Class V 18-Inch</v>
          </cell>
          <cell r="C424" t="str">
            <v>LF</v>
          </cell>
        </row>
        <row r="425">
          <cell r="A425">
            <v>520.06209999999999</v>
          </cell>
          <cell r="B425" t="str">
            <v>Culvert Pipe Class V 21-Inch</v>
          </cell>
          <cell r="C425" t="str">
            <v>LF</v>
          </cell>
        </row>
        <row r="426">
          <cell r="A426">
            <v>520.06240000000003</v>
          </cell>
          <cell r="B426" t="str">
            <v>Culvert Pipe Class V 24-Inch</v>
          </cell>
          <cell r="C426" t="str">
            <v>LF</v>
          </cell>
        </row>
        <row r="427">
          <cell r="A427">
            <v>520.06299999999999</v>
          </cell>
          <cell r="B427" t="str">
            <v>Culvert Pipe Class V 30-Inch</v>
          </cell>
          <cell r="C427" t="str">
            <v>LF</v>
          </cell>
        </row>
        <row r="428">
          <cell r="A428">
            <v>520.06359999999995</v>
          </cell>
          <cell r="B428" t="str">
            <v>Culvert Pipe Class V 36-Inch</v>
          </cell>
          <cell r="C428" t="str">
            <v>LF</v>
          </cell>
        </row>
        <row r="429">
          <cell r="A429">
            <v>520.06420000000003</v>
          </cell>
          <cell r="B429" t="str">
            <v>Culvert Pipe Class V 42-Inch</v>
          </cell>
          <cell r="C429" t="str">
            <v>LF</v>
          </cell>
        </row>
        <row r="430">
          <cell r="A430">
            <v>520.06479999999999</v>
          </cell>
          <cell r="B430" t="str">
            <v>Culvert Pipe Class V 48-Inch</v>
          </cell>
          <cell r="C430" t="str">
            <v>LF</v>
          </cell>
        </row>
        <row r="431">
          <cell r="A431">
            <v>520.06539999999995</v>
          </cell>
          <cell r="B431" t="str">
            <v>Culvert Pipe Class V 54-Inch</v>
          </cell>
          <cell r="C431" t="str">
            <v>LF</v>
          </cell>
        </row>
        <row r="432">
          <cell r="A432">
            <v>520.06600000000003</v>
          </cell>
          <cell r="B432" t="str">
            <v>Culvert Pipe Class V 60-Inch</v>
          </cell>
          <cell r="C432" t="str">
            <v>LF</v>
          </cell>
        </row>
        <row r="433">
          <cell r="A433">
            <v>520.06719999999996</v>
          </cell>
          <cell r="B433" t="str">
            <v>Culvert Pipe Class V 72-Inch</v>
          </cell>
          <cell r="C433" t="str">
            <v>LF</v>
          </cell>
        </row>
        <row r="434">
          <cell r="A434">
            <v>520.0684</v>
          </cell>
          <cell r="B434" t="str">
            <v>Culvert Pipe Class V 84-Inch</v>
          </cell>
          <cell r="C434" t="str">
            <v>LF</v>
          </cell>
        </row>
        <row r="435">
          <cell r="A435">
            <v>520.10119999999995</v>
          </cell>
          <cell r="B435" t="str">
            <v>Apron Endwalls for Culvert Pipe 12-Inch</v>
          </cell>
          <cell r="C435" t="str">
            <v>EACH</v>
          </cell>
        </row>
        <row r="436">
          <cell r="A436">
            <v>520.10149999999999</v>
          </cell>
          <cell r="B436" t="str">
            <v>Apron Endwalls for Culvert Pipe 15-Inch</v>
          </cell>
          <cell r="C436" t="str">
            <v>EACH</v>
          </cell>
        </row>
        <row r="437">
          <cell r="A437">
            <v>520.10180000000003</v>
          </cell>
          <cell r="B437" t="str">
            <v>Apron Endwalls for Culvert Pipe 18-Inch</v>
          </cell>
          <cell r="C437" t="str">
            <v>EACH</v>
          </cell>
        </row>
        <row r="438">
          <cell r="A438">
            <v>520.10209999999995</v>
          </cell>
          <cell r="B438" t="str">
            <v>Apron Endwalls for Culvert Pipe 21-Inch</v>
          </cell>
          <cell r="C438" t="str">
            <v>EACH</v>
          </cell>
        </row>
        <row r="439">
          <cell r="A439">
            <v>520.10239999999999</v>
          </cell>
          <cell r="B439" t="str">
            <v>Apron Endwalls for Culvert Pipe 24-Inch</v>
          </cell>
          <cell r="C439" t="str">
            <v>EACH</v>
          </cell>
        </row>
        <row r="440">
          <cell r="A440">
            <v>520.10299999999995</v>
          </cell>
          <cell r="B440" t="str">
            <v>Apron Endwalls for Culvert Pipe 30-Inch</v>
          </cell>
          <cell r="C440" t="str">
            <v>EACH</v>
          </cell>
        </row>
        <row r="441">
          <cell r="A441">
            <v>520.10360000000003</v>
          </cell>
          <cell r="B441" t="str">
            <v>Apron Endwalls for Culvert Pipe 36-Inch</v>
          </cell>
          <cell r="C441" t="str">
            <v>EACH</v>
          </cell>
        </row>
        <row r="442">
          <cell r="A442">
            <v>520.10419999999999</v>
          </cell>
          <cell r="B442" t="str">
            <v>Apron Endwalls for Culvert Pipe 42-Inch</v>
          </cell>
          <cell r="C442" t="str">
            <v>EACH</v>
          </cell>
        </row>
        <row r="443">
          <cell r="A443">
            <v>520.10479999999995</v>
          </cell>
          <cell r="B443" t="str">
            <v>Apron Endwalls for Culvert Pipe 48-Inch</v>
          </cell>
          <cell r="C443" t="str">
            <v>EACH</v>
          </cell>
        </row>
        <row r="444">
          <cell r="A444">
            <v>520.10540000000003</v>
          </cell>
          <cell r="B444" t="str">
            <v>Apron Endwalls for Culvert Pipe 54-Inch</v>
          </cell>
          <cell r="C444" t="str">
            <v>EACH</v>
          </cell>
        </row>
        <row r="445">
          <cell r="A445">
            <v>520.10599999999999</v>
          </cell>
          <cell r="B445" t="str">
            <v>Apron Endwalls for Culvert Pipe 60-Inch</v>
          </cell>
          <cell r="C445" t="str">
            <v>EACH</v>
          </cell>
        </row>
        <row r="446">
          <cell r="A446">
            <v>520.10720000000003</v>
          </cell>
          <cell r="B446" t="str">
            <v>Apron Endwalls for Culvert Pipe 72-Inch</v>
          </cell>
          <cell r="C446" t="str">
            <v>EACH</v>
          </cell>
        </row>
        <row r="447">
          <cell r="A447">
            <v>520.10839999999996</v>
          </cell>
          <cell r="B447" t="str">
            <v>Apron Endwalls for Culvert Pipe 84-Inch</v>
          </cell>
          <cell r="C447" t="str">
            <v>EACH</v>
          </cell>
        </row>
        <row r="448">
          <cell r="A448">
            <v>520.40120000000002</v>
          </cell>
          <cell r="B448" t="str">
            <v>Culvert Pipe Temporary 12-Inch</v>
          </cell>
          <cell r="C448" t="str">
            <v>LF</v>
          </cell>
        </row>
        <row r="449">
          <cell r="A449">
            <v>520.40150000000006</v>
          </cell>
          <cell r="B449" t="str">
            <v>Culvert Pipe Temporary 15-Inch</v>
          </cell>
          <cell r="C449" t="str">
            <v>LF</v>
          </cell>
        </row>
        <row r="450">
          <cell r="A450">
            <v>520.40179999999998</v>
          </cell>
          <cell r="B450" t="str">
            <v>Culvert Pipe Temporary 18-Inch</v>
          </cell>
          <cell r="C450" t="str">
            <v>LF</v>
          </cell>
        </row>
        <row r="451">
          <cell r="A451">
            <v>520.40210000000002</v>
          </cell>
          <cell r="B451" t="str">
            <v>Culvert Pipe Temporary 21-Inch</v>
          </cell>
          <cell r="C451" t="str">
            <v>LF</v>
          </cell>
        </row>
        <row r="452">
          <cell r="A452">
            <v>520.40239999999994</v>
          </cell>
          <cell r="B452" t="str">
            <v>Culvert Pipe Temporary 24-Inch</v>
          </cell>
          <cell r="C452" t="str">
            <v>LF</v>
          </cell>
        </row>
        <row r="453">
          <cell r="A453">
            <v>520.40300000000002</v>
          </cell>
          <cell r="B453" t="str">
            <v>Culvert Pipe Temporary 30-Inch</v>
          </cell>
          <cell r="C453" t="str">
            <v>LF</v>
          </cell>
        </row>
        <row r="454">
          <cell r="A454">
            <v>520.40359999999998</v>
          </cell>
          <cell r="B454" t="str">
            <v>Culvert Pipe Temporary 36-Inch</v>
          </cell>
          <cell r="C454" t="str">
            <v>LF</v>
          </cell>
        </row>
        <row r="455">
          <cell r="A455">
            <v>520.40419999999995</v>
          </cell>
          <cell r="B455" t="str">
            <v>Culvert Pipe Temporary 42-Inch</v>
          </cell>
          <cell r="C455" t="str">
            <v>LF</v>
          </cell>
        </row>
        <row r="456">
          <cell r="A456">
            <v>520.40480000000002</v>
          </cell>
          <cell r="B456" t="str">
            <v>Culvert Pipe Temporary 48-Inch</v>
          </cell>
          <cell r="C456" t="str">
            <v>LF</v>
          </cell>
        </row>
        <row r="457">
          <cell r="A457">
            <v>520.40539999999999</v>
          </cell>
          <cell r="B457" t="str">
            <v>Culvert Pipe Temporary 54-Inch</v>
          </cell>
          <cell r="C457" t="str">
            <v>LF</v>
          </cell>
        </row>
        <row r="458">
          <cell r="A458">
            <v>520.40599999999995</v>
          </cell>
          <cell r="B458" t="str">
            <v>Culvert Pipe Temporary 60-Inch</v>
          </cell>
          <cell r="C458" t="str">
            <v>LF</v>
          </cell>
        </row>
        <row r="459">
          <cell r="A459">
            <v>520.40719999999999</v>
          </cell>
          <cell r="B459" t="str">
            <v>Culvert Pipe Temporary 72-Inch</v>
          </cell>
          <cell r="C459" t="str">
            <v>LF</v>
          </cell>
        </row>
        <row r="460">
          <cell r="A460">
            <v>520.40840000000003</v>
          </cell>
          <cell r="B460" t="str">
            <v>Culvert Pipe Temporary 84-Inch</v>
          </cell>
          <cell r="C460" t="str">
            <v>LF</v>
          </cell>
        </row>
        <row r="461">
          <cell r="A461">
            <v>520.5</v>
          </cell>
          <cell r="B461" t="str">
            <v>Pipe Cattle Pass</v>
          </cell>
          <cell r="C461" t="str">
            <v>LF</v>
          </cell>
        </row>
        <row r="462">
          <cell r="A462">
            <v>520.70000000000005</v>
          </cell>
          <cell r="B462" t="str">
            <v>Cleaning Culvert Pipes</v>
          </cell>
          <cell r="C462" t="str">
            <v>EACH</v>
          </cell>
        </row>
        <row r="463">
          <cell r="A463">
            <v>521.01120000000003</v>
          </cell>
          <cell r="B463" t="str">
            <v>Culvert Pipe Corrugated Steel 12-Inch</v>
          </cell>
          <cell r="C463" t="str">
            <v>LF</v>
          </cell>
        </row>
        <row r="464">
          <cell r="A464">
            <v>521.01149999999996</v>
          </cell>
          <cell r="B464" t="str">
            <v>Culvert Pipe Corrugated Steel 15-Inch</v>
          </cell>
          <cell r="C464" t="str">
            <v>LF</v>
          </cell>
        </row>
        <row r="465">
          <cell r="A465">
            <v>521.01179999999999</v>
          </cell>
          <cell r="B465" t="str">
            <v>Culvert Pipe Corrugated Steel 18-Inch</v>
          </cell>
          <cell r="C465" t="str">
            <v>LF</v>
          </cell>
        </row>
        <row r="466">
          <cell r="A466">
            <v>521.01210000000003</v>
          </cell>
          <cell r="B466" t="str">
            <v>Culvert Pipe Corrugated Steel 21-Inch</v>
          </cell>
          <cell r="C466" t="str">
            <v>LF</v>
          </cell>
        </row>
        <row r="467">
          <cell r="A467">
            <v>521.01239999999996</v>
          </cell>
          <cell r="B467" t="str">
            <v>Culvert Pipe Corrugated Steel 24-Inch</v>
          </cell>
          <cell r="C467" t="str">
            <v>LF</v>
          </cell>
        </row>
        <row r="468">
          <cell r="A468">
            <v>521.01300000000003</v>
          </cell>
          <cell r="B468" t="str">
            <v>Culvert Pipe Corrugated Steel 30-Inch</v>
          </cell>
          <cell r="C468" t="str">
            <v>LF</v>
          </cell>
        </row>
        <row r="469">
          <cell r="A469">
            <v>521.0136</v>
          </cell>
          <cell r="B469" t="str">
            <v>Culvert Pipe Corrugated Steel 36-Inch</v>
          </cell>
          <cell r="C469" t="str">
            <v>LF</v>
          </cell>
        </row>
        <row r="470">
          <cell r="A470">
            <v>521.01419999999996</v>
          </cell>
          <cell r="B470" t="str">
            <v>Culvert Pipe Corrugated Steel 42-Inch</v>
          </cell>
          <cell r="C470" t="str">
            <v>LF</v>
          </cell>
        </row>
        <row r="471">
          <cell r="A471">
            <v>521.01480000000004</v>
          </cell>
          <cell r="B471" t="str">
            <v>Culvert Pipe Corrugated Steel 48-Inch</v>
          </cell>
          <cell r="C471" t="str">
            <v>LF</v>
          </cell>
        </row>
        <row r="472">
          <cell r="A472">
            <v>521.0154</v>
          </cell>
          <cell r="B472" t="str">
            <v>Culvert Pipe Corrugated Steel 54-Inch</v>
          </cell>
          <cell r="C472" t="str">
            <v>LF</v>
          </cell>
        </row>
        <row r="473">
          <cell r="A473">
            <v>521.01599999999996</v>
          </cell>
          <cell r="B473" t="str">
            <v>Culvert Pipe Corrugated Steel 60-Inch</v>
          </cell>
          <cell r="C473" t="str">
            <v>LF</v>
          </cell>
        </row>
        <row r="474">
          <cell r="A474">
            <v>521.0172</v>
          </cell>
          <cell r="B474" t="str">
            <v>Culvert Pipe Corrugated Steel 72-Inch</v>
          </cell>
          <cell r="C474" t="str">
            <v>LF</v>
          </cell>
        </row>
        <row r="475">
          <cell r="A475">
            <v>521.01840000000004</v>
          </cell>
          <cell r="B475" t="str">
            <v>Culvert Pipe Corrugated Steel 84-Inch</v>
          </cell>
          <cell r="C475" t="str">
            <v>LF</v>
          </cell>
        </row>
        <row r="476">
          <cell r="A476">
            <v>521.01959999999997</v>
          </cell>
          <cell r="B476" t="str">
            <v>Culvert Pipe Corrugated Steel 96-Inch</v>
          </cell>
          <cell r="C476" t="str">
            <v>LF</v>
          </cell>
        </row>
        <row r="477">
          <cell r="A477">
            <v>521.03359999999998</v>
          </cell>
          <cell r="B477" t="str">
            <v>Apron Endwalls for Culvert Pipe Sloped Cross Drains Steel 36-Inch</v>
          </cell>
          <cell r="C477" t="str">
            <v>EACH</v>
          </cell>
        </row>
        <row r="478">
          <cell r="A478">
            <v>521.03420000000006</v>
          </cell>
          <cell r="B478" t="str">
            <v>Apron Endwalls for Culvert Pipe Sloped Cross Drains Steel 42-Inch</v>
          </cell>
          <cell r="C478" t="str">
            <v>EACH</v>
          </cell>
        </row>
        <row r="479">
          <cell r="A479">
            <v>521.03480000000002</v>
          </cell>
          <cell r="B479" t="str">
            <v>Apron Endwalls for Culvert Pipe Sloped Cross Drains Steel 48-Inch</v>
          </cell>
          <cell r="C479" t="str">
            <v>EACH</v>
          </cell>
        </row>
        <row r="480">
          <cell r="A480">
            <v>521.03539999999998</v>
          </cell>
          <cell r="B480" t="str">
            <v>Apron Endwalls for Culvert Pipe Sloped Cross Drains Steel 54-Inch</v>
          </cell>
          <cell r="C480" t="str">
            <v>EACH</v>
          </cell>
        </row>
        <row r="481">
          <cell r="A481">
            <v>521.03599999999994</v>
          </cell>
          <cell r="B481" t="str">
            <v>Apron Endwalls for Culvert Pipe Sloped Cross Drains Steel 60-Inch</v>
          </cell>
          <cell r="C481" t="str">
            <v>EACH</v>
          </cell>
        </row>
        <row r="482">
          <cell r="A482">
            <v>521.05420000000004</v>
          </cell>
          <cell r="B482" t="str">
            <v>Apron Endwalls for Pipe Arch Sloped Cross Drains Steel 42x29-Inch</v>
          </cell>
          <cell r="C482" t="str">
            <v>EACH</v>
          </cell>
        </row>
        <row r="483">
          <cell r="A483">
            <v>521.05489999999998</v>
          </cell>
          <cell r="B483" t="str">
            <v>Apron Endwalls for Pipe Arch Sloped Cross Drains Steel 49x33-Inch</v>
          </cell>
          <cell r="C483" t="str">
            <v>EACH</v>
          </cell>
        </row>
        <row r="484">
          <cell r="A484">
            <v>521.0557</v>
          </cell>
          <cell r="B484" t="str">
            <v>Apron Endwalls for Pipe Arch Sloped Cross Drains Steel 57x38-Inch</v>
          </cell>
          <cell r="C484" t="str">
            <v>EACH</v>
          </cell>
        </row>
        <row r="485">
          <cell r="A485">
            <v>521.05640000000005</v>
          </cell>
          <cell r="B485" t="str">
            <v>Apron Endwalls for Pipe Arch Sloped Cross Drains Steel 64x43-Inch</v>
          </cell>
          <cell r="C485" t="str">
            <v>EACH</v>
          </cell>
        </row>
        <row r="486">
          <cell r="A486">
            <v>521.05709999999999</v>
          </cell>
          <cell r="B486" t="str">
            <v>Apron Endwalls for Pipe Arch Sloped Cross Drains Steel 71x47-Inch</v>
          </cell>
          <cell r="C486" t="str">
            <v>EACH</v>
          </cell>
        </row>
        <row r="487">
          <cell r="A487">
            <v>521.07169999999996</v>
          </cell>
          <cell r="B487" t="str">
            <v>Pipe Arch Corrugated Steel 17x13-Inch</v>
          </cell>
          <cell r="C487" t="str">
            <v>LF</v>
          </cell>
        </row>
        <row r="488">
          <cell r="A488">
            <v>521.07209999999998</v>
          </cell>
          <cell r="B488" t="str">
            <v>Pipe Arch Corrugated Steel 21x15-Inch</v>
          </cell>
          <cell r="C488" t="str">
            <v>LF</v>
          </cell>
        </row>
        <row r="489">
          <cell r="A489">
            <v>521.07240000000002</v>
          </cell>
          <cell r="B489" t="str">
            <v>Pipe Arch Corrugated Steel 24x18-Inch</v>
          </cell>
          <cell r="C489" t="str">
            <v>LF</v>
          </cell>
        </row>
        <row r="490">
          <cell r="A490">
            <v>521.07280000000003</v>
          </cell>
          <cell r="B490" t="str">
            <v>Pipe Arch Corrugated Steel 28x20-Inch</v>
          </cell>
          <cell r="C490" t="str">
            <v>LF</v>
          </cell>
        </row>
        <row r="491">
          <cell r="A491">
            <v>521.07349999999997</v>
          </cell>
          <cell r="B491" t="str">
            <v>Pipe Arch Corrugated Steel 35x24-Inch</v>
          </cell>
          <cell r="C491" t="str">
            <v>LF</v>
          </cell>
        </row>
        <row r="492">
          <cell r="A492">
            <v>521.07420000000002</v>
          </cell>
          <cell r="B492" t="str">
            <v>Pipe Arch Corrugated Steel 42x29-Inch</v>
          </cell>
          <cell r="C492" t="str">
            <v>LF</v>
          </cell>
        </row>
        <row r="493">
          <cell r="A493">
            <v>521.07489999999996</v>
          </cell>
          <cell r="B493" t="str">
            <v>Pipe Arch Corrugated Steel 49x33-Inch</v>
          </cell>
          <cell r="C493" t="str">
            <v>LF</v>
          </cell>
        </row>
        <row r="494">
          <cell r="A494">
            <v>521.07569999999998</v>
          </cell>
          <cell r="B494" t="str">
            <v>Pipe Arch Corrugated Steel 57x38-Inch</v>
          </cell>
          <cell r="C494" t="str">
            <v>LF</v>
          </cell>
        </row>
        <row r="495">
          <cell r="A495">
            <v>521.07640000000004</v>
          </cell>
          <cell r="B495" t="str">
            <v>Pipe Arch Corrugated Steel 64x43-Inch</v>
          </cell>
          <cell r="C495" t="str">
            <v>LF</v>
          </cell>
        </row>
        <row r="496">
          <cell r="A496">
            <v>521.07709999999997</v>
          </cell>
          <cell r="B496" t="str">
            <v>Pipe Arch Corrugated Steel 71x47-Inch</v>
          </cell>
          <cell r="C496" t="str">
            <v>LF</v>
          </cell>
        </row>
        <row r="497">
          <cell r="A497">
            <v>521.07770000000005</v>
          </cell>
          <cell r="B497" t="str">
            <v>Pipe Arch Corrugated Steel 77x52-Inch</v>
          </cell>
          <cell r="C497" t="str">
            <v>LF</v>
          </cell>
        </row>
        <row r="498">
          <cell r="A498">
            <v>521.07830000000001</v>
          </cell>
          <cell r="B498" t="str">
            <v>Pipe Arch Corrugated Steel 83x57-Inch</v>
          </cell>
          <cell r="C498" t="str">
            <v>LF</v>
          </cell>
        </row>
        <row r="499">
          <cell r="A499">
            <v>521.10119999999995</v>
          </cell>
          <cell r="B499" t="str">
            <v>Apron Endwalls for Culvert Pipe Steel 12-Inch</v>
          </cell>
          <cell r="C499" t="str">
            <v>EACH</v>
          </cell>
        </row>
        <row r="500">
          <cell r="A500">
            <v>521.10149999999999</v>
          </cell>
          <cell r="B500" t="str">
            <v>Apron Endwalls for Culvert Pipe Steel 15-Inch</v>
          </cell>
          <cell r="C500" t="str">
            <v>EACH</v>
          </cell>
        </row>
        <row r="501">
          <cell r="A501">
            <v>521.10180000000003</v>
          </cell>
          <cell r="B501" t="str">
            <v>Apron Endwalls for Culvert Pipe Steel 18-Inch</v>
          </cell>
          <cell r="C501" t="str">
            <v>EACH</v>
          </cell>
        </row>
        <row r="502">
          <cell r="A502">
            <v>521.10209999999995</v>
          </cell>
          <cell r="B502" t="str">
            <v>Apron Endwalls for Culvert Pipe Steel 21-Inch</v>
          </cell>
          <cell r="C502" t="str">
            <v>EACH</v>
          </cell>
        </row>
        <row r="503">
          <cell r="A503">
            <v>521.10239999999999</v>
          </cell>
          <cell r="B503" t="str">
            <v>Apron Endwalls for Culvert Pipe Steel 24-Inch</v>
          </cell>
          <cell r="C503" t="str">
            <v>EACH</v>
          </cell>
        </row>
        <row r="504">
          <cell r="A504">
            <v>521.10299999999995</v>
          </cell>
          <cell r="B504" t="str">
            <v>Apron Endwalls for Culvert Pipe Steel 30-Inch</v>
          </cell>
          <cell r="C504" t="str">
            <v>EACH</v>
          </cell>
        </row>
        <row r="505">
          <cell r="A505">
            <v>521.10360000000003</v>
          </cell>
          <cell r="B505" t="str">
            <v>Apron Endwalls for Culvert Pipe Steel 36-Inch</v>
          </cell>
          <cell r="C505" t="str">
            <v>EACH</v>
          </cell>
        </row>
        <row r="506">
          <cell r="A506">
            <v>521.10419999999999</v>
          </cell>
          <cell r="B506" t="str">
            <v>Apron Endwalls for Culvert Pipe Steel 42-Inch</v>
          </cell>
          <cell r="C506" t="str">
            <v>EACH</v>
          </cell>
        </row>
        <row r="507">
          <cell r="A507">
            <v>521.10479999999995</v>
          </cell>
          <cell r="B507" t="str">
            <v>Apron Endwalls for Culvert Pipe Steel 48-Inch</v>
          </cell>
          <cell r="C507" t="str">
            <v>EACH</v>
          </cell>
        </row>
        <row r="508">
          <cell r="A508">
            <v>521.10540000000003</v>
          </cell>
          <cell r="B508" t="str">
            <v>Apron Endwalls for Culvert Pipe Steel 54-Inch</v>
          </cell>
          <cell r="C508" t="str">
            <v>EACH</v>
          </cell>
        </row>
        <row r="509">
          <cell r="A509">
            <v>521.10599999999999</v>
          </cell>
          <cell r="B509" t="str">
            <v>Apron Endwalls for Culvert Pipe Steel 60-Inch</v>
          </cell>
          <cell r="C509" t="str">
            <v>EACH</v>
          </cell>
        </row>
        <row r="510">
          <cell r="A510">
            <v>521.10720000000003</v>
          </cell>
          <cell r="B510" t="str">
            <v>Apron Endwalls for Culvert Pipe Steel 72-Inch</v>
          </cell>
          <cell r="C510" t="str">
            <v>EACH</v>
          </cell>
        </row>
        <row r="511">
          <cell r="A511">
            <v>521.10839999999996</v>
          </cell>
          <cell r="B511" t="str">
            <v>Apron Endwalls for Culvert Pipe Steel 84-Inch</v>
          </cell>
          <cell r="C511" t="str">
            <v>EACH</v>
          </cell>
        </row>
        <row r="512">
          <cell r="A512">
            <v>521.12170000000003</v>
          </cell>
          <cell r="B512" t="str">
            <v>Apron Endwalls for Pipe Arch Steel 17x13-Inch</v>
          </cell>
          <cell r="C512" t="str">
            <v>EACH</v>
          </cell>
        </row>
        <row r="513">
          <cell r="A513">
            <v>521.12210000000005</v>
          </cell>
          <cell r="B513" t="str">
            <v>Apron Endwalls for Pipe Arch Steel 21x15-Inch</v>
          </cell>
          <cell r="C513" t="str">
            <v>EACH</v>
          </cell>
        </row>
        <row r="514">
          <cell r="A514">
            <v>521.12239999999997</v>
          </cell>
          <cell r="B514" t="str">
            <v>Apron Endwalls for Pipe Arch Steel 24x18-Inch</v>
          </cell>
          <cell r="C514" t="str">
            <v>EACH</v>
          </cell>
        </row>
        <row r="515">
          <cell r="A515">
            <v>521.12279999999998</v>
          </cell>
          <cell r="B515" t="str">
            <v>Apron Endwalls for Pipe Arch Steel 28x20-Inch</v>
          </cell>
          <cell r="C515" t="str">
            <v>EACH</v>
          </cell>
        </row>
        <row r="516">
          <cell r="A516">
            <v>521.12350000000004</v>
          </cell>
          <cell r="B516" t="str">
            <v>Apron Endwalls for Pipe Arch Steel 35x24-Inch</v>
          </cell>
          <cell r="C516" t="str">
            <v>EACH</v>
          </cell>
        </row>
        <row r="517">
          <cell r="A517">
            <v>521.12419999999997</v>
          </cell>
          <cell r="B517" t="str">
            <v>Apron Endwalls for Pipe Arch Steel 42x29-Inch</v>
          </cell>
          <cell r="C517" t="str">
            <v>EACH</v>
          </cell>
        </row>
        <row r="518">
          <cell r="A518">
            <v>521.12490000000003</v>
          </cell>
          <cell r="B518" t="str">
            <v>Apron Endwalls for Pipe Arch Steel 49x33-Inch</v>
          </cell>
          <cell r="C518" t="str">
            <v>EACH</v>
          </cell>
        </row>
        <row r="519">
          <cell r="A519">
            <v>521.12570000000005</v>
          </cell>
          <cell r="B519" t="str">
            <v>Apron Endwalls for Pipe Arch Steel 57x38-Inch</v>
          </cell>
          <cell r="C519" t="str">
            <v>EACH</v>
          </cell>
        </row>
        <row r="520">
          <cell r="A520">
            <v>521.12639999999999</v>
          </cell>
          <cell r="B520" t="str">
            <v>Apron Endwalls for Pipe Arch Steel 64x43-Inch</v>
          </cell>
          <cell r="C520" t="str">
            <v>EACH</v>
          </cell>
        </row>
        <row r="521">
          <cell r="A521">
            <v>521.12710000000004</v>
          </cell>
          <cell r="B521" t="str">
            <v>Apron Endwalls for Pipe Arch Steel 71x47-Inch</v>
          </cell>
          <cell r="C521" t="str">
            <v>EACH</v>
          </cell>
        </row>
        <row r="522">
          <cell r="A522">
            <v>521.1277</v>
          </cell>
          <cell r="B522" t="str">
            <v>Apron Endwalls for Pipe Arch Steel 77x52-Inch</v>
          </cell>
          <cell r="C522" t="str">
            <v>EACH</v>
          </cell>
        </row>
        <row r="523">
          <cell r="A523">
            <v>521.12829999999997</v>
          </cell>
          <cell r="B523" t="str">
            <v>Apron Endwalls for Pipe Arch Steel 83x57-Inch</v>
          </cell>
          <cell r="C523" t="str">
            <v>EACH</v>
          </cell>
        </row>
        <row r="524">
          <cell r="A524">
            <v>521.15150000000006</v>
          </cell>
          <cell r="B524" t="str">
            <v>Apron Endwalls for Culvert Pipe Sloped Section Steel 15-Inch</v>
          </cell>
          <cell r="C524" t="str">
            <v>EACH</v>
          </cell>
        </row>
        <row r="525">
          <cell r="A525">
            <v>521.15179999999998</v>
          </cell>
          <cell r="B525" t="str">
            <v>Apron Endwalls for Culvert Pipe Sloped Section Steel 18-Inch</v>
          </cell>
          <cell r="C525" t="str">
            <v>EACH</v>
          </cell>
        </row>
        <row r="526">
          <cell r="A526">
            <v>521.15210000000002</v>
          </cell>
          <cell r="B526" t="str">
            <v>Apron Endwalls for Culvert Pipe Sloped Section Steel 21-Inch</v>
          </cell>
          <cell r="C526" t="str">
            <v>EACH</v>
          </cell>
        </row>
        <row r="527">
          <cell r="A527">
            <v>521.15239999999994</v>
          </cell>
          <cell r="B527" t="str">
            <v>Apron Endwalls for Culvert Pipe Sloped Section Steel 24-Inch</v>
          </cell>
          <cell r="C527" t="str">
            <v>EACH</v>
          </cell>
        </row>
        <row r="528">
          <cell r="A528">
            <v>521.15300000000002</v>
          </cell>
          <cell r="B528" t="str">
            <v>Apron Endwalls for Culvert Pipe Sloped Section Steel 30-Inch</v>
          </cell>
          <cell r="C528" t="str">
            <v>EACH</v>
          </cell>
        </row>
        <row r="529">
          <cell r="A529">
            <v>521.15359999999998</v>
          </cell>
          <cell r="B529" t="str">
            <v>Apron Endwalls for Culvert Pipe Sloped Section Steel 36-Inch</v>
          </cell>
          <cell r="C529" t="str">
            <v>EACH</v>
          </cell>
        </row>
        <row r="530">
          <cell r="A530">
            <v>521.15419999999995</v>
          </cell>
          <cell r="B530" t="str">
            <v>Apron Endwalls for Culvert Pipe Sloped Section Steel 42-Inch</v>
          </cell>
          <cell r="C530" t="str">
            <v>EACH</v>
          </cell>
        </row>
        <row r="531">
          <cell r="A531">
            <v>521.15480000000002</v>
          </cell>
          <cell r="B531" t="str">
            <v>Apron Endwalls for Culvert Pipe Sloped Section Steel 48-Inch</v>
          </cell>
          <cell r="C531" t="str">
            <v>EACH</v>
          </cell>
        </row>
        <row r="532">
          <cell r="A532">
            <v>521.15539999999999</v>
          </cell>
          <cell r="B532" t="str">
            <v>Apron Endwalls for Culvert Pipe Sloped Section Steel 54-Inch</v>
          </cell>
          <cell r="C532" t="str">
            <v>EACH</v>
          </cell>
        </row>
        <row r="533">
          <cell r="A533">
            <v>521.17169999999999</v>
          </cell>
          <cell r="B533" t="str">
            <v>Apron Endwalls for Pipe Arch Sloped Section Steel 17x13-Inch</v>
          </cell>
          <cell r="C533" t="str">
            <v>EACH</v>
          </cell>
        </row>
        <row r="534">
          <cell r="A534">
            <v>521.1721</v>
          </cell>
          <cell r="B534" t="str">
            <v>Apron Endwalls for Pipe Arch Sloped Section Steel 21x15-Inch</v>
          </cell>
          <cell r="C534" t="str">
            <v>EACH</v>
          </cell>
        </row>
        <row r="535">
          <cell r="A535">
            <v>521.17240000000004</v>
          </cell>
          <cell r="B535" t="str">
            <v>Apron Endwalls for Pipe Arch Sloped Section Steel 24x18-Inch</v>
          </cell>
          <cell r="C535" t="str">
            <v>EACH</v>
          </cell>
        </row>
        <row r="536">
          <cell r="A536">
            <v>521.17280000000005</v>
          </cell>
          <cell r="B536" t="str">
            <v>Apron Endwalls for Pipe Arch Sloped Section Steel 28x20-Inch</v>
          </cell>
          <cell r="C536" t="str">
            <v>EACH</v>
          </cell>
        </row>
        <row r="537">
          <cell r="A537">
            <v>521.17349999999999</v>
          </cell>
          <cell r="B537" t="str">
            <v>Apron Endwalls for Pipe Arch Sloped Section Steel 35x24-Inch</v>
          </cell>
          <cell r="C537" t="str">
            <v>EACH</v>
          </cell>
        </row>
        <row r="538">
          <cell r="A538">
            <v>521.17420000000004</v>
          </cell>
          <cell r="B538" t="str">
            <v>Apron Endwalls for Pipe Arch Sloped Section Steel 42x29-Inch</v>
          </cell>
          <cell r="C538" t="str">
            <v>EACH</v>
          </cell>
        </row>
        <row r="539">
          <cell r="A539">
            <v>521.17489999999998</v>
          </cell>
          <cell r="B539" t="str">
            <v>Apron Endwalls for Pipe Arch Sloped Section Steel 49x33-Inch</v>
          </cell>
          <cell r="C539" t="str">
            <v>EACH</v>
          </cell>
        </row>
        <row r="540">
          <cell r="A540">
            <v>521.17570000000001</v>
          </cell>
          <cell r="B540" t="str">
            <v>Apron Endwalls for Pipe Arch Sloped Section Steel 57x38-Inch</v>
          </cell>
          <cell r="C540" t="str">
            <v>EACH</v>
          </cell>
        </row>
        <row r="541">
          <cell r="A541">
            <v>521.17639999999994</v>
          </cell>
          <cell r="B541" t="str">
            <v>Apron Endwalls for Pipe Arch Sloped Section Steel 64x43-Inch</v>
          </cell>
          <cell r="C541" t="str">
            <v>EACH</v>
          </cell>
        </row>
        <row r="542">
          <cell r="A542">
            <v>521.19000000000005</v>
          </cell>
          <cell r="B542" t="str">
            <v>Pipe Cattle Pass Corrugated Steel</v>
          </cell>
          <cell r="C542" t="str">
            <v>LF</v>
          </cell>
        </row>
        <row r="543">
          <cell r="A543">
            <v>522.01120000000003</v>
          </cell>
          <cell r="B543" t="str">
            <v>Culvert Pipe Reinforced Concrete Class III 12-Inch</v>
          </cell>
          <cell r="C543" t="str">
            <v>LF</v>
          </cell>
        </row>
        <row r="544">
          <cell r="A544">
            <v>522.01149999999996</v>
          </cell>
          <cell r="B544" t="str">
            <v>Culvert Pipe Reinforced Concrete Class III 15-Inch</v>
          </cell>
          <cell r="C544" t="str">
            <v>LF</v>
          </cell>
        </row>
        <row r="545">
          <cell r="A545">
            <v>522.01179999999999</v>
          </cell>
          <cell r="B545" t="str">
            <v>Culvert Pipe Reinforced Concrete Class III 18-Inch</v>
          </cell>
          <cell r="C545" t="str">
            <v>LF</v>
          </cell>
        </row>
        <row r="546">
          <cell r="A546">
            <v>522.01210000000003</v>
          </cell>
          <cell r="B546" t="str">
            <v>Culvert Pipe Reinforced Concrete Class III 21-Inch</v>
          </cell>
          <cell r="C546" t="str">
            <v>LF</v>
          </cell>
        </row>
        <row r="547">
          <cell r="A547">
            <v>522.01239999999996</v>
          </cell>
          <cell r="B547" t="str">
            <v>Culvert Pipe Reinforced Concrete Class III 24-Inch</v>
          </cell>
          <cell r="C547" t="str">
            <v>LF</v>
          </cell>
        </row>
        <row r="548">
          <cell r="A548">
            <v>522.0127</v>
          </cell>
          <cell r="B548" t="str">
            <v>Culvert Pipe Reinforced Concrete Class III 27-Inch</v>
          </cell>
          <cell r="C548" t="str">
            <v>LF</v>
          </cell>
        </row>
        <row r="549">
          <cell r="A549">
            <v>522.01300000000003</v>
          </cell>
          <cell r="B549" t="str">
            <v>Culvert Pipe Reinforced Concrete Class III 30-Inch</v>
          </cell>
          <cell r="C549" t="str">
            <v>LF</v>
          </cell>
        </row>
        <row r="550">
          <cell r="A550">
            <v>522.0136</v>
          </cell>
          <cell r="B550" t="str">
            <v>Culvert Pipe Reinforced Concrete Class III 36-Inch</v>
          </cell>
          <cell r="C550" t="str">
            <v>LF</v>
          </cell>
        </row>
        <row r="551">
          <cell r="A551">
            <v>522.01419999999996</v>
          </cell>
          <cell r="B551" t="str">
            <v>Culvert Pipe Reinforced Concrete Class III 42-Inch</v>
          </cell>
          <cell r="C551" t="str">
            <v>LF</v>
          </cell>
        </row>
        <row r="552">
          <cell r="A552">
            <v>522.01480000000004</v>
          </cell>
          <cell r="B552" t="str">
            <v>Culvert Pipe Reinforced Concrete Class III 48-Inch</v>
          </cell>
          <cell r="C552" t="str">
            <v>LF</v>
          </cell>
        </row>
        <row r="553">
          <cell r="A553">
            <v>522.0154</v>
          </cell>
          <cell r="B553" t="str">
            <v>Culvert Pipe Reinforced Concrete Class III 54-Inch</v>
          </cell>
          <cell r="C553" t="str">
            <v>LF</v>
          </cell>
        </row>
        <row r="554">
          <cell r="A554">
            <v>522.01599999999996</v>
          </cell>
          <cell r="B554" t="str">
            <v>Culvert Pipe Reinforced Concrete Class III 60-Inch</v>
          </cell>
          <cell r="C554" t="str">
            <v>LF</v>
          </cell>
        </row>
        <row r="555">
          <cell r="A555">
            <v>522.01660000000004</v>
          </cell>
          <cell r="B555" t="str">
            <v>Culvert Pipe Reinforced Concrete Class III 66-Inch</v>
          </cell>
          <cell r="C555" t="str">
            <v>LF</v>
          </cell>
        </row>
        <row r="556">
          <cell r="A556">
            <v>522.0172</v>
          </cell>
          <cell r="B556" t="str">
            <v>Culvert Pipe Reinforced Concrete Class III 72-Inch</v>
          </cell>
          <cell r="C556" t="str">
            <v>LF</v>
          </cell>
        </row>
        <row r="557">
          <cell r="A557">
            <v>522.01779999999997</v>
          </cell>
          <cell r="B557" t="str">
            <v>Culvert Pipe Reinforced Concrete Class III 78-Inch</v>
          </cell>
          <cell r="C557" t="str">
            <v>LF</v>
          </cell>
        </row>
        <row r="558">
          <cell r="A558">
            <v>522.01840000000004</v>
          </cell>
          <cell r="B558" t="str">
            <v>Culvert Pipe Reinforced Concrete Class III 84-Inch</v>
          </cell>
          <cell r="C558" t="str">
            <v>LF</v>
          </cell>
        </row>
        <row r="559">
          <cell r="A559">
            <v>522.01900000000001</v>
          </cell>
          <cell r="B559" t="str">
            <v>Culvert Pipe Reinforced Concrete Class III 90-Inch</v>
          </cell>
          <cell r="C559" t="str">
            <v>LF</v>
          </cell>
        </row>
        <row r="560">
          <cell r="A560">
            <v>522.01959999999997</v>
          </cell>
          <cell r="B560" t="str">
            <v>Culvert Pipe Reinforced Concrete Class III 96-Inch</v>
          </cell>
          <cell r="C560" t="str">
            <v>LF</v>
          </cell>
        </row>
        <row r="561">
          <cell r="A561">
            <v>522.02020000000005</v>
          </cell>
          <cell r="B561" t="str">
            <v>Culvert Pipe Reinforced Concrete Class III 102-Inch</v>
          </cell>
          <cell r="C561" t="str">
            <v>LF</v>
          </cell>
        </row>
        <row r="562">
          <cell r="A562">
            <v>522.02080000000001</v>
          </cell>
          <cell r="B562" t="str">
            <v>Culvert Pipe Reinforced Concrete Class III 108-Inch</v>
          </cell>
          <cell r="C562" t="str">
            <v>LF</v>
          </cell>
        </row>
        <row r="563">
          <cell r="A563">
            <v>522.03120000000001</v>
          </cell>
          <cell r="B563" t="str">
            <v>Culvert Pipe Reinforced Concrete Class IV 12-Inch</v>
          </cell>
          <cell r="C563" t="str">
            <v>LF</v>
          </cell>
        </row>
        <row r="564">
          <cell r="A564">
            <v>522.03150000000005</v>
          </cell>
          <cell r="B564" t="str">
            <v>Culvert Pipe Reinforced Concrete Class IV 15-Inch</v>
          </cell>
          <cell r="C564" t="str">
            <v>LF</v>
          </cell>
        </row>
        <row r="565">
          <cell r="A565">
            <v>522.03179999999998</v>
          </cell>
          <cell r="B565" t="str">
            <v>Culvert Pipe Reinforced Concrete Class IV 18-Inch</v>
          </cell>
          <cell r="C565" t="str">
            <v>LF</v>
          </cell>
        </row>
        <row r="566">
          <cell r="A566">
            <v>522.03210000000001</v>
          </cell>
          <cell r="B566" t="str">
            <v>Culvert Pipe Reinforced Concrete Class IV 21-Inch</v>
          </cell>
          <cell r="C566" t="str">
            <v>LF</v>
          </cell>
        </row>
        <row r="567">
          <cell r="A567">
            <v>522.03240000000005</v>
          </cell>
          <cell r="B567" t="str">
            <v>Culvert Pipe Reinforced Concrete Class IV 24-Inch</v>
          </cell>
          <cell r="C567" t="str">
            <v>LF</v>
          </cell>
        </row>
        <row r="568">
          <cell r="A568">
            <v>522.03269999999998</v>
          </cell>
          <cell r="B568" t="str">
            <v>Culvert Pipe Reinforced Concrete Class IV 27-Inch</v>
          </cell>
          <cell r="C568" t="str">
            <v>LF</v>
          </cell>
        </row>
        <row r="569">
          <cell r="A569">
            <v>522.03300000000002</v>
          </cell>
          <cell r="B569" t="str">
            <v>Culvert Pipe Reinforced Concrete Class IV 30-Inch</v>
          </cell>
          <cell r="C569" t="str">
            <v>LF</v>
          </cell>
        </row>
        <row r="570">
          <cell r="A570">
            <v>522.03359999999998</v>
          </cell>
          <cell r="B570" t="str">
            <v>Culvert Pipe Reinforced Concrete Class IV 36-Inch</v>
          </cell>
          <cell r="C570" t="str">
            <v>LF</v>
          </cell>
        </row>
        <row r="571">
          <cell r="A571">
            <v>522.03420000000006</v>
          </cell>
          <cell r="B571" t="str">
            <v>Culvert Pipe Reinforced Concrete Class IV 42-Inch</v>
          </cell>
          <cell r="C571" t="str">
            <v>LF</v>
          </cell>
        </row>
        <row r="572">
          <cell r="A572">
            <v>522.03480000000002</v>
          </cell>
          <cell r="B572" t="str">
            <v>Culvert Pipe Reinforced Concrete Class IV 48-Inch</v>
          </cell>
          <cell r="C572" t="str">
            <v>LF</v>
          </cell>
        </row>
        <row r="573">
          <cell r="A573">
            <v>522.03539999999998</v>
          </cell>
          <cell r="B573" t="str">
            <v>Culvert Pipe Reinforced Concrete Class IV 54-Inch</v>
          </cell>
          <cell r="C573" t="str">
            <v>LF</v>
          </cell>
        </row>
        <row r="574">
          <cell r="A574">
            <v>522.03599999999994</v>
          </cell>
          <cell r="B574" t="str">
            <v>Culvert Pipe Reinforced Concrete Class IV 60-Inch</v>
          </cell>
          <cell r="C574" t="str">
            <v>LF</v>
          </cell>
        </row>
        <row r="575">
          <cell r="A575">
            <v>522.03660000000002</v>
          </cell>
          <cell r="B575" t="str">
            <v>Culvert Pipe Reinforced Concrete Class IV 66-Inch</v>
          </cell>
          <cell r="C575" t="str">
            <v>LF</v>
          </cell>
        </row>
        <row r="576">
          <cell r="A576">
            <v>522.03719999999998</v>
          </cell>
          <cell r="B576" t="str">
            <v>Culvert Pipe Reinforced Concrete Class IV 72-Inch</v>
          </cell>
          <cell r="C576" t="str">
            <v>LF</v>
          </cell>
        </row>
        <row r="577">
          <cell r="A577">
            <v>522.03779999999995</v>
          </cell>
          <cell r="B577" t="str">
            <v>Culvert Pipe Reinforced Concrete Class IV 78-Inch</v>
          </cell>
          <cell r="C577" t="str">
            <v>LF</v>
          </cell>
        </row>
        <row r="578">
          <cell r="A578">
            <v>522.03840000000002</v>
          </cell>
          <cell r="B578" t="str">
            <v>Culvert Pipe Reinforced Concrete Class IV 84-Inch</v>
          </cell>
          <cell r="C578" t="str">
            <v>LF</v>
          </cell>
        </row>
        <row r="579">
          <cell r="A579">
            <v>522.05119999999999</v>
          </cell>
          <cell r="B579" t="str">
            <v>Culvert Pipe Reinforced Concrete Class V 12-Inch</v>
          </cell>
          <cell r="C579" t="str">
            <v>LF</v>
          </cell>
        </row>
        <row r="580">
          <cell r="A580">
            <v>522.05150000000003</v>
          </cell>
          <cell r="B580" t="str">
            <v>Culvert Pipe Reinforced Concrete Class V 15-Inch</v>
          </cell>
          <cell r="C580" t="str">
            <v>LF</v>
          </cell>
        </row>
        <row r="581">
          <cell r="A581">
            <v>522.05179999999996</v>
          </cell>
          <cell r="B581" t="str">
            <v>Culvert Pipe Reinforced Concrete Class V 18-Inch</v>
          </cell>
          <cell r="C581" t="str">
            <v>LF</v>
          </cell>
        </row>
        <row r="582">
          <cell r="A582">
            <v>522.0521</v>
          </cell>
          <cell r="B582" t="str">
            <v>Culvert Pipe Reinforced Concrete Class V 21-Inch</v>
          </cell>
          <cell r="C582" t="str">
            <v>LF</v>
          </cell>
        </row>
        <row r="583">
          <cell r="A583">
            <v>522.05240000000003</v>
          </cell>
          <cell r="B583" t="str">
            <v>Culvert Pipe Reinforced Concrete Class V 24-Inch</v>
          </cell>
          <cell r="C583" t="str">
            <v>LF</v>
          </cell>
        </row>
        <row r="584">
          <cell r="A584">
            <v>522.05269999999996</v>
          </cell>
          <cell r="B584" t="str">
            <v>Culvert Pipe Reinforced Concrete Class V 27-Inch</v>
          </cell>
          <cell r="C584" t="str">
            <v>LF</v>
          </cell>
        </row>
        <row r="585">
          <cell r="A585">
            <v>522.053</v>
          </cell>
          <cell r="B585" t="str">
            <v>Culvert Pipe Reinforced Concrete Class V 30-Inch</v>
          </cell>
          <cell r="C585" t="str">
            <v>LF</v>
          </cell>
        </row>
        <row r="586">
          <cell r="A586">
            <v>522.05359999999996</v>
          </cell>
          <cell r="B586" t="str">
            <v>Culvert Pipe Reinforced Concrete Class V 36-Inch</v>
          </cell>
          <cell r="C586" t="str">
            <v>LF</v>
          </cell>
        </row>
        <row r="587">
          <cell r="A587">
            <v>522.05420000000004</v>
          </cell>
          <cell r="B587" t="str">
            <v>Culvert Pipe Reinforced Concrete Class V 42-Inch</v>
          </cell>
          <cell r="C587" t="str">
            <v>LF</v>
          </cell>
        </row>
        <row r="588">
          <cell r="A588">
            <v>522.0548</v>
          </cell>
          <cell r="B588" t="str">
            <v>Culvert Pipe Reinforced Concrete Class V 48-Inch</v>
          </cell>
          <cell r="C588" t="str">
            <v>LF</v>
          </cell>
        </row>
        <row r="589">
          <cell r="A589">
            <v>522.05539999999996</v>
          </cell>
          <cell r="B589" t="str">
            <v>Culvert Pipe Reinforced Concrete Class V 54-Inch</v>
          </cell>
          <cell r="C589" t="str">
            <v>LF</v>
          </cell>
        </row>
        <row r="590">
          <cell r="A590">
            <v>522.05600000000004</v>
          </cell>
          <cell r="B590" t="str">
            <v>Culvert Pipe Reinforced Concrete Class V 60-Inch</v>
          </cell>
          <cell r="C590" t="str">
            <v>LF</v>
          </cell>
        </row>
        <row r="591">
          <cell r="A591">
            <v>522.0566</v>
          </cell>
          <cell r="B591" t="str">
            <v>Culvert Pipe Reinforced Concrete Class V 66-Inch</v>
          </cell>
          <cell r="C591" t="str">
            <v>LF</v>
          </cell>
        </row>
        <row r="592">
          <cell r="A592">
            <v>522.05719999999997</v>
          </cell>
          <cell r="B592" t="str">
            <v>Culvert Pipe Reinforced Concrete Class V 72-Inch</v>
          </cell>
          <cell r="C592" t="str">
            <v>LF</v>
          </cell>
        </row>
        <row r="593">
          <cell r="A593">
            <v>522.05840000000001</v>
          </cell>
          <cell r="B593" t="str">
            <v>Culvert Pipe Reinforced Concrete Class V 84-Inch</v>
          </cell>
          <cell r="C593" t="str">
            <v>LF</v>
          </cell>
        </row>
        <row r="594">
          <cell r="A594">
            <v>522.10119999999995</v>
          </cell>
          <cell r="B594" t="str">
            <v>Apron Endwalls for Culvert Pipe Reinforced Concrete 12-Inch</v>
          </cell>
          <cell r="C594" t="str">
            <v>EACH</v>
          </cell>
        </row>
        <row r="595">
          <cell r="A595">
            <v>522.10149999999999</v>
          </cell>
          <cell r="B595" t="str">
            <v>Apron Endwalls for Culvert Pipe Reinforced Concrete 15-Inch</v>
          </cell>
          <cell r="C595" t="str">
            <v>EACH</v>
          </cell>
        </row>
        <row r="596">
          <cell r="A596">
            <v>522.10180000000003</v>
          </cell>
          <cell r="B596" t="str">
            <v>Apron Endwalls for Culvert Pipe Reinforced Concrete 18-Inch</v>
          </cell>
          <cell r="C596" t="str">
            <v>EACH</v>
          </cell>
        </row>
        <row r="597">
          <cell r="A597">
            <v>522.10209999999995</v>
          </cell>
          <cell r="B597" t="str">
            <v>Apron Endwalls for Culvert Pipe Reinforced Concrete 21-Inch</v>
          </cell>
          <cell r="C597" t="str">
            <v>EACH</v>
          </cell>
        </row>
        <row r="598">
          <cell r="A598">
            <v>522.10239999999999</v>
          </cell>
          <cell r="B598" t="str">
            <v>Apron Endwalls for Culvert Pipe Reinforced Concrete 24-Inch</v>
          </cell>
          <cell r="C598" t="str">
            <v>EACH</v>
          </cell>
        </row>
        <row r="599">
          <cell r="A599">
            <v>522.10270000000003</v>
          </cell>
          <cell r="B599" t="str">
            <v>Apron Endwalls for Culvert Pipe Reinforced Concrete 27-Inch</v>
          </cell>
          <cell r="C599" t="str">
            <v>EACH</v>
          </cell>
        </row>
        <row r="600">
          <cell r="A600">
            <v>522.10299999999995</v>
          </cell>
          <cell r="B600" t="str">
            <v>Apron Endwalls for Culvert Pipe Reinforced Concrete 30-Inch</v>
          </cell>
          <cell r="C600" t="str">
            <v>EACH</v>
          </cell>
        </row>
        <row r="601">
          <cell r="A601">
            <v>522.10360000000003</v>
          </cell>
          <cell r="B601" t="str">
            <v>Apron Endwalls for Culvert Pipe Reinforced Concrete 36-Inch</v>
          </cell>
          <cell r="C601" t="str">
            <v>EACH</v>
          </cell>
        </row>
        <row r="602">
          <cell r="A602">
            <v>522.10419999999999</v>
          </cell>
          <cell r="B602" t="str">
            <v>Apron Endwalls for Culvert Pipe Reinforced Concrete 42-Inch</v>
          </cell>
          <cell r="C602" t="str">
            <v>EACH</v>
          </cell>
        </row>
        <row r="603">
          <cell r="A603">
            <v>522.10479999999995</v>
          </cell>
          <cell r="B603" t="str">
            <v>Apron Endwalls for Culvert Pipe Reinforced Concrete 48-Inch</v>
          </cell>
          <cell r="C603" t="str">
            <v>EACH</v>
          </cell>
        </row>
        <row r="604">
          <cell r="A604">
            <v>522.10540000000003</v>
          </cell>
          <cell r="B604" t="str">
            <v>Apron Endwalls for Culvert Pipe Reinforced Concrete 54-Inch</v>
          </cell>
          <cell r="C604" t="str">
            <v>EACH</v>
          </cell>
        </row>
        <row r="605">
          <cell r="A605">
            <v>522.10599999999999</v>
          </cell>
          <cell r="B605" t="str">
            <v>Apron Endwalls for Culvert Pipe Reinforced Concrete 60-Inch</v>
          </cell>
          <cell r="C605" t="str">
            <v>EACH</v>
          </cell>
        </row>
        <row r="606">
          <cell r="A606">
            <v>522.10659999999996</v>
          </cell>
          <cell r="B606" t="str">
            <v>Apron Endwalls for Culvert Pipe Reinforced Concrete 66-Inch</v>
          </cell>
          <cell r="C606" t="str">
            <v>EACH</v>
          </cell>
        </row>
        <row r="607">
          <cell r="A607">
            <v>522.10720000000003</v>
          </cell>
          <cell r="B607" t="str">
            <v>Apron Endwalls for Culvert Pipe Reinforced Concrete 72-Inch</v>
          </cell>
          <cell r="C607" t="str">
            <v>EACH</v>
          </cell>
        </row>
        <row r="608">
          <cell r="A608">
            <v>522.10839999999996</v>
          </cell>
          <cell r="B608" t="str">
            <v>Apron Endwalls for Culvert Pipe Reinforced Concrete 84-Inch</v>
          </cell>
          <cell r="C608" t="str">
            <v>EACH</v>
          </cell>
        </row>
        <row r="609">
          <cell r="A609">
            <v>522.20000000000005</v>
          </cell>
          <cell r="B609" t="str">
            <v>Pipe Cattle Pass Reinforced Concrete</v>
          </cell>
          <cell r="C609" t="str">
            <v>LF</v>
          </cell>
        </row>
        <row r="610">
          <cell r="A610">
            <v>523.01139999999998</v>
          </cell>
          <cell r="B610" t="str">
            <v>Culvert Pipe Reinforced Concrete Horizontal Elliptical Class HE-III 14x23-Inch</v>
          </cell>
          <cell r="C610" t="str">
            <v>LF</v>
          </cell>
        </row>
        <row r="611">
          <cell r="A611">
            <v>523.01189999999997</v>
          </cell>
          <cell r="B611" t="str">
            <v>Culvert Pipe Reinforced Concrete Horizontal Elliptical Class HE-III 19x30-Inch</v>
          </cell>
          <cell r="C611" t="str">
            <v>LF</v>
          </cell>
        </row>
        <row r="612">
          <cell r="A612">
            <v>523.01239999999996</v>
          </cell>
          <cell r="B612" t="str">
            <v>Culvert Pipe Reinforced Concrete Horizontal Elliptical Class HE-III 24x38-Inch</v>
          </cell>
          <cell r="C612" t="str">
            <v>LF</v>
          </cell>
        </row>
        <row r="613">
          <cell r="A613">
            <v>523.01289999999995</v>
          </cell>
          <cell r="B613" t="str">
            <v>Culvert Pipe Reinforced Concrete Horizontal Elliptical Class HE-III 29x45-Inch</v>
          </cell>
          <cell r="C613" t="str">
            <v>LF</v>
          </cell>
        </row>
        <row r="614">
          <cell r="A614">
            <v>523.01340000000005</v>
          </cell>
          <cell r="B614" t="str">
            <v>Culvert Pipe Reinforced Concrete Horizontal Elliptical Class HE-III 34x53-Inch</v>
          </cell>
          <cell r="C614" t="str">
            <v>LF</v>
          </cell>
        </row>
        <row r="615">
          <cell r="A615">
            <v>523.01379999999995</v>
          </cell>
          <cell r="B615" t="str">
            <v>Culvert Pipe Reinforced Concrete Horizontal Elliptical Class HE-III 38x60-Inch</v>
          </cell>
          <cell r="C615" t="str">
            <v>LF</v>
          </cell>
        </row>
        <row r="616">
          <cell r="A616">
            <v>523.01430000000005</v>
          </cell>
          <cell r="B616" t="str">
            <v>Culvert Pipe Reinforced Concrete Horizontal Elliptical Class HE-III 43x68-Inch</v>
          </cell>
          <cell r="C616" t="str">
            <v>LF</v>
          </cell>
        </row>
        <row r="617">
          <cell r="A617">
            <v>523.01480000000004</v>
          </cell>
          <cell r="B617" t="str">
            <v>Culvert Pipe Reinforced Concrete Horizontal Elliptical Class HE-III 48x76-Inch</v>
          </cell>
          <cell r="C617" t="str">
            <v>LF</v>
          </cell>
        </row>
        <row r="618">
          <cell r="A618">
            <v>523.01530000000002</v>
          </cell>
          <cell r="B618" t="str">
            <v>Culvert Pipe Reinforced Concrete Horizontal Elliptical Class HE-III 53x83-Inch</v>
          </cell>
          <cell r="C618" t="str">
            <v>LF</v>
          </cell>
        </row>
        <row r="619">
          <cell r="A619">
            <v>523.01580000000001</v>
          </cell>
          <cell r="B619" t="str">
            <v>Culvert Pipe Reinforced Concrete Horizontal Elliptical Class HE-III 58x91-Inch</v>
          </cell>
          <cell r="C619" t="str">
            <v>LF</v>
          </cell>
        </row>
        <row r="620">
          <cell r="A620">
            <v>523.0163</v>
          </cell>
          <cell r="B620" t="str">
            <v>Culvert Pipe Reinforced Concrete Horizontal Elliptical Class HE-III 63x98-Inch</v>
          </cell>
          <cell r="C620" t="str">
            <v>LF</v>
          </cell>
        </row>
        <row r="621">
          <cell r="A621">
            <v>523.01679999999999</v>
          </cell>
          <cell r="B621" t="str">
            <v>Culvert Pipe Reinforced Concrete Horizontal Elliptical Class HE-III 68x106-Inch</v>
          </cell>
          <cell r="C621" t="str">
            <v>LF</v>
          </cell>
        </row>
        <row r="622">
          <cell r="A622">
            <v>523.04139999999995</v>
          </cell>
          <cell r="B622" t="str">
            <v>Culvert Pipe Reinforced Concrete Horizontal Elliptical Class HE-IV 14x23-Inch</v>
          </cell>
          <cell r="C622" t="str">
            <v>LF</v>
          </cell>
        </row>
        <row r="623">
          <cell r="A623">
            <v>523.04190000000006</v>
          </cell>
          <cell r="B623" t="str">
            <v>Culvert Pipe Reinforced Concrete Horizontal Elliptical Class HE-IV 19x30-Inch</v>
          </cell>
          <cell r="C623" t="str">
            <v>LF</v>
          </cell>
        </row>
        <row r="624">
          <cell r="A624">
            <v>523.04240000000004</v>
          </cell>
          <cell r="B624" t="str">
            <v>Culvert Pipe Reinforced Concrete Horizontal Elliptical Class HE-IV 24x38-Inch</v>
          </cell>
          <cell r="C624" t="str">
            <v>LF</v>
          </cell>
        </row>
        <row r="625">
          <cell r="A625">
            <v>523.04290000000003</v>
          </cell>
          <cell r="B625" t="str">
            <v>Culvert Pipe Reinforced Concrete Horizontal Elliptical Class HE-IV 29x45-Inch</v>
          </cell>
          <cell r="C625" t="str">
            <v>LF</v>
          </cell>
        </row>
        <row r="626">
          <cell r="A626">
            <v>523.04340000000002</v>
          </cell>
          <cell r="B626" t="str">
            <v>Culvert Pipe Reinforced Concrete Horizontal Elliptical Class HE-IV 34x53-Inch</v>
          </cell>
          <cell r="C626" t="str">
            <v>LF</v>
          </cell>
        </row>
        <row r="627">
          <cell r="A627">
            <v>523.05139999999994</v>
          </cell>
          <cell r="B627" t="str">
            <v>Apron Endwalls for Culvert Pipe Reinforced Concrete Horizontal Elliptical 14x23-Inch</v>
          </cell>
          <cell r="C627" t="str">
            <v>EACH</v>
          </cell>
        </row>
        <row r="628">
          <cell r="A628">
            <v>523.05190000000005</v>
          </cell>
          <cell r="B628" t="str">
            <v>Apron Endwalls for Culvert Pipe Reinforced Concrete Horizontal Elliptical 19x30-Inch</v>
          </cell>
          <cell r="C628" t="str">
            <v>EACH</v>
          </cell>
        </row>
        <row r="629">
          <cell r="A629">
            <v>523.05240000000003</v>
          </cell>
          <cell r="B629" t="str">
            <v>Apron Endwalls for Culvert Pipe Reinforced Concrete Horizontal Elliptical 24x38-Inch</v>
          </cell>
          <cell r="C629" t="str">
            <v>EACH</v>
          </cell>
        </row>
        <row r="630">
          <cell r="A630">
            <v>523.05290000000002</v>
          </cell>
          <cell r="B630" t="str">
            <v>Apron Endwalls for Culvert Pipe Reinforced Concrete Horizontal Elliptical 29x45-Inch</v>
          </cell>
          <cell r="C630" t="str">
            <v>EACH</v>
          </cell>
        </row>
        <row r="631">
          <cell r="A631">
            <v>523.05340000000001</v>
          </cell>
          <cell r="B631" t="str">
            <v>Apron Endwalls for Culvert Pipe Reinforced Concrete Horizontal Elliptical 34x53-Inch</v>
          </cell>
          <cell r="C631" t="str">
            <v>EACH</v>
          </cell>
        </row>
        <row r="632">
          <cell r="A632">
            <v>523.05380000000002</v>
          </cell>
          <cell r="B632" t="str">
            <v>Apron Endwalls for Culvert Pipe Reinforced Concrete Horizontal Elliptical 38x60-Inch</v>
          </cell>
          <cell r="C632" t="str">
            <v>EACH</v>
          </cell>
        </row>
        <row r="633">
          <cell r="A633">
            <v>523.05430000000001</v>
          </cell>
          <cell r="B633" t="str">
            <v>Apron Endwalls for Culvert Pipe Reinforced Concrete Horizontal Elliptical 43x68-Inch</v>
          </cell>
          <cell r="C633" t="str">
            <v>EACH</v>
          </cell>
        </row>
        <row r="634">
          <cell r="A634">
            <v>523.0548</v>
          </cell>
          <cell r="B634" t="str">
            <v>Apron Endwalls for Culvert Pipe Reinforced Concrete Horizontal Elliptical 48x76-Inch</v>
          </cell>
          <cell r="C634" t="str">
            <v>EACH</v>
          </cell>
        </row>
        <row r="635">
          <cell r="A635">
            <v>523.05529999999999</v>
          </cell>
          <cell r="B635" t="str">
            <v>Apron Endwalls for Culvert Pipe Reinforced Concrete Horizontal Elliptical 53x83-Inch</v>
          </cell>
          <cell r="C635" t="str">
            <v>EACH</v>
          </cell>
        </row>
        <row r="636">
          <cell r="A636">
            <v>523.05579999999998</v>
          </cell>
          <cell r="B636" t="str">
            <v>Apron Endwalls for Culvert Pipe Reinforced Concrete Horizontal Elliptical 58x91-Inch</v>
          </cell>
          <cell r="C636" t="str">
            <v>EACH</v>
          </cell>
        </row>
        <row r="637">
          <cell r="A637">
            <v>523.05629999999996</v>
          </cell>
          <cell r="B637" t="str">
            <v>Apron Endwalls for Culvert Pipe Reinforced Concrete Horizontal Elliptical 63x98-Inch</v>
          </cell>
          <cell r="C637" t="str">
            <v>EACH</v>
          </cell>
        </row>
        <row r="638">
          <cell r="A638">
            <v>523.05679999999995</v>
          </cell>
          <cell r="B638" t="str">
            <v>Apron Endwalls for Culvert Pipe Reinforced Concrete Horizontal Elliptical 68x106-Inch</v>
          </cell>
          <cell r="C638" t="str">
            <v>EACH</v>
          </cell>
        </row>
        <row r="639">
          <cell r="A639">
            <v>524.01120000000003</v>
          </cell>
          <cell r="B639" t="str">
            <v>Culvert Pipe Salvaged 12-Inch</v>
          </cell>
          <cell r="C639" t="str">
            <v>LF</v>
          </cell>
        </row>
        <row r="640">
          <cell r="A640">
            <v>524.01149999999996</v>
          </cell>
          <cell r="B640" t="str">
            <v>Culvert Pipe Salvaged 15-Inch</v>
          </cell>
          <cell r="C640" t="str">
            <v>LF</v>
          </cell>
        </row>
        <row r="641">
          <cell r="A641">
            <v>524.01179999999999</v>
          </cell>
          <cell r="B641" t="str">
            <v>Culvert Pipe Salvaged 18-Inch</v>
          </cell>
          <cell r="C641" t="str">
            <v>LF</v>
          </cell>
        </row>
        <row r="642">
          <cell r="A642">
            <v>524.01210000000003</v>
          </cell>
          <cell r="B642" t="str">
            <v>Culvert Pipe Salvaged 21-Inch</v>
          </cell>
          <cell r="C642" t="str">
            <v>LF</v>
          </cell>
        </row>
        <row r="643">
          <cell r="A643">
            <v>524.01239999999996</v>
          </cell>
          <cell r="B643" t="str">
            <v>Culvert Pipe Salvaged 24-Inch</v>
          </cell>
          <cell r="C643" t="str">
            <v>LF</v>
          </cell>
        </row>
        <row r="644">
          <cell r="A644">
            <v>524.0127</v>
          </cell>
          <cell r="B644" t="str">
            <v>Culvert Pipe Salvaged 27-Inch</v>
          </cell>
          <cell r="C644" t="str">
            <v>LF</v>
          </cell>
        </row>
        <row r="645">
          <cell r="A645">
            <v>524.01300000000003</v>
          </cell>
          <cell r="B645" t="str">
            <v>Culvert Pipe Salvaged 30-Inch</v>
          </cell>
          <cell r="C645" t="str">
            <v>LF</v>
          </cell>
        </row>
        <row r="646">
          <cell r="A646">
            <v>524.01329999999996</v>
          </cell>
          <cell r="B646" t="str">
            <v>Culvert Pipe Salvaged 33-Inch</v>
          </cell>
          <cell r="C646" t="str">
            <v>LF</v>
          </cell>
        </row>
        <row r="647">
          <cell r="A647">
            <v>524.0136</v>
          </cell>
          <cell r="B647" t="str">
            <v>Culvert Pipe Salvaged 36-Inch</v>
          </cell>
          <cell r="C647" t="str">
            <v>LF</v>
          </cell>
        </row>
        <row r="648">
          <cell r="A648">
            <v>524.01419999999996</v>
          </cell>
          <cell r="B648" t="str">
            <v>Culvert Pipe Salvaged 42-Inch</v>
          </cell>
          <cell r="C648" t="str">
            <v>LF</v>
          </cell>
        </row>
        <row r="649">
          <cell r="A649">
            <v>524.01480000000004</v>
          </cell>
          <cell r="B649" t="str">
            <v>Culvert Pipe Salvaged 48-Inch</v>
          </cell>
          <cell r="C649" t="str">
            <v>LF</v>
          </cell>
        </row>
        <row r="650">
          <cell r="A650">
            <v>524.0154</v>
          </cell>
          <cell r="B650" t="str">
            <v>Culvert Pipe Salvaged 54-Inch</v>
          </cell>
          <cell r="C650" t="str">
            <v>LF</v>
          </cell>
        </row>
        <row r="651">
          <cell r="A651">
            <v>524.01599999999996</v>
          </cell>
          <cell r="B651" t="str">
            <v>Culvert Pipe Salvaged 60-Inch</v>
          </cell>
          <cell r="C651" t="str">
            <v>LF</v>
          </cell>
        </row>
        <row r="652">
          <cell r="A652">
            <v>524.01660000000004</v>
          </cell>
          <cell r="B652" t="str">
            <v>Culvert Pipe Salvaged 66-Inch</v>
          </cell>
          <cell r="C652" t="str">
            <v>LF</v>
          </cell>
        </row>
        <row r="653">
          <cell r="A653">
            <v>524.0172</v>
          </cell>
          <cell r="B653" t="str">
            <v>Culvert Pipe Salvaged 72-Inch</v>
          </cell>
          <cell r="C653" t="str">
            <v>LF</v>
          </cell>
        </row>
        <row r="654">
          <cell r="A654">
            <v>524.01779999999997</v>
          </cell>
          <cell r="B654" t="str">
            <v>Culvert Pipe Salvaged 78-Inch</v>
          </cell>
          <cell r="C654" t="str">
            <v>LF</v>
          </cell>
        </row>
        <row r="655">
          <cell r="A655">
            <v>524.01840000000004</v>
          </cell>
          <cell r="B655" t="str">
            <v>Culvert Pipe Salvaged 84-Inch</v>
          </cell>
          <cell r="C655" t="str">
            <v>LF</v>
          </cell>
        </row>
        <row r="656">
          <cell r="A656">
            <v>524.01900000000001</v>
          </cell>
          <cell r="B656" t="str">
            <v>Culvert Pipe Salvaged 90-Inch</v>
          </cell>
          <cell r="C656" t="str">
            <v>LF</v>
          </cell>
        </row>
        <row r="657">
          <cell r="A657">
            <v>524.01959999999997</v>
          </cell>
          <cell r="B657" t="str">
            <v>Culvert Pipe Salvaged 96-Inch</v>
          </cell>
          <cell r="C657" t="str">
            <v>LF</v>
          </cell>
        </row>
        <row r="658">
          <cell r="A658">
            <v>524.02020000000005</v>
          </cell>
          <cell r="B658" t="str">
            <v>Culvert Pipe Salvaged 102-Inch</v>
          </cell>
          <cell r="C658" t="str">
            <v>LF</v>
          </cell>
        </row>
        <row r="659">
          <cell r="A659">
            <v>524.02080000000001</v>
          </cell>
          <cell r="B659" t="str">
            <v>Culvert Pipe Salvaged 108-Inch</v>
          </cell>
          <cell r="C659" t="str">
            <v>LF</v>
          </cell>
        </row>
        <row r="660">
          <cell r="A660">
            <v>524.06119999999999</v>
          </cell>
          <cell r="B660" t="str">
            <v>Apron Endwalls for Culvert Pipe Salvaged 12-Inch</v>
          </cell>
          <cell r="C660" t="str">
            <v>EACH</v>
          </cell>
        </row>
        <row r="661">
          <cell r="A661">
            <v>524.06150000000002</v>
          </cell>
          <cell r="B661" t="str">
            <v>Apron Endwalls for Culvert Pipe Salvaged 15-Inch</v>
          </cell>
          <cell r="C661" t="str">
            <v>EACH</v>
          </cell>
        </row>
        <row r="662">
          <cell r="A662">
            <v>524.06179999999995</v>
          </cell>
          <cell r="B662" t="str">
            <v>Apron Endwalls for Culvert Pipe Salvaged 18-Inch</v>
          </cell>
          <cell r="C662" t="str">
            <v>EACH</v>
          </cell>
        </row>
        <row r="663">
          <cell r="A663">
            <v>524.06209999999999</v>
          </cell>
          <cell r="B663" t="str">
            <v>Apron Endwalls for Culvert Pipe Salvaged 21-Inch</v>
          </cell>
          <cell r="C663" t="str">
            <v>EACH</v>
          </cell>
        </row>
        <row r="664">
          <cell r="A664">
            <v>524.06240000000003</v>
          </cell>
          <cell r="B664" t="str">
            <v>Apron Endwalls for Culvert Pipe Salvaged 24-Inch</v>
          </cell>
          <cell r="C664" t="str">
            <v>EACH</v>
          </cell>
        </row>
        <row r="665">
          <cell r="A665">
            <v>524.06269999999995</v>
          </cell>
          <cell r="B665" t="str">
            <v>Apron Endwalls for Culvert Pipe Salvaged 27-Inch</v>
          </cell>
          <cell r="C665" t="str">
            <v>EACH</v>
          </cell>
        </row>
        <row r="666">
          <cell r="A666">
            <v>524.06299999999999</v>
          </cell>
          <cell r="B666" t="str">
            <v>Apron Endwalls for Culvert Pipe Salvaged 30-Inch</v>
          </cell>
          <cell r="C666" t="str">
            <v>EACH</v>
          </cell>
        </row>
        <row r="667">
          <cell r="A667">
            <v>524.06330000000003</v>
          </cell>
          <cell r="B667" t="str">
            <v>Apron Endwalls for Culvert Pipe Salvaged 33-Inch</v>
          </cell>
          <cell r="C667" t="str">
            <v>EACH</v>
          </cell>
        </row>
        <row r="668">
          <cell r="A668">
            <v>524.06359999999995</v>
          </cell>
          <cell r="B668" t="str">
            <v>Apron Endwalls for Culvert Pipe Salvaged 36-Inch</v>
          </cell>
          <cell r="C668" t="str">
            <v>EACH</v>
          </cell>
        </row>
        <row r="669">
          <cell r="A669">
            <v>524.06420000000003</v>
          </cell>
          <cell r="B669" t="str">
            <v>Apron Endwalls for Culvert Pipe Salvaged 42-Inch</v>
          </cell>
          <cell r="C669" t="str">
            <v>EACH</v>
          </cell>
        </row>
        <row r="670">
          <cell r="A670">
            <v>524.06479999999999</v>
          </cell>
          <cell r="B670" t="str">
            <v>Apron Endwalls for Culvert Pipe Salvaged 48-Inch</v>
          </cell>
          <cell r="C670" t="str">
            <v>EACH</v>
          </cell>
        </row>
        <row r="671">
          <cell r="A671">
            <v>524.06539999999995</v>
          </cell>
          <cell r="B671" t="str">
            <v>Apron Endwalls for Culvert Pipe Salvaged 54-Inch</v>
          </cell>
          <cell r="C671" t="str">
            <v>EACH</v>
          </cell>
        </row>
        <row r="672">
          <cell r="A672">
            <v>524.06600000000003</v>
          </cell>
          <cell r="B672" t="str">
            <v>Apron Endwalls for Culvert Pipe Salvaged 60-Inch</v>
          </cell>
          <cell r="C672" t="str">
            <v>EACH</v>
          </cell>
        </row>
        <row r="673">
          <cell r="A673">
            <v>524.06659999999999</v>
          </cell>
          <cell r="B673" t="str">
            <v>Apron Endwalls for Culvert Pipe Salvaged 66-Inch</v>
          </cell>
          <cell r="C673" t="str">
            <v>EACH</v>
          </cell>
        </row>
        <row r="674">
          <cell r="A674">
            <v>524.06719999999996</v>
          </cell>
          <cell r="B674" t="str">
            <v>Apron Endwalls for Culvert Pipe Salvaged 72-Inch</v>
          </cell>
          <cell r="C674" t="str">
            <v>EACH</v>
          </cell>
        </row>
        <row r="675">
          <cell r="A675">
            <v>524.06780000000003</v>
          </cell>
          <cell r="B675" t="str">
            <v>Apron Endwalls for Culvert Pipe Salvaged 78-Inch</v>
          </cell>
          <cell r="C675" t="str">
            <v>EACH</v>
          </cell>
        </row>
        <row r="676">
          <cell r="A676">
            <v>524.0684</v>
          </cell>
          <cell r="B676" t="str">
            <v>Apron Endwalls for Culvert Pipe Salvaged 84-Inch</v>
          </cell>
          <cell r="C676" t="str">
            <v>EACH</v>
          </cell>
        </row>
        <row r="677">
          <cell r="A677">
            <v>524.08000000000004</v>
          </cell>
          <cell r="B677" t="str">
            <v>Pipe Cattle Pass Salvaged</v>
          </cell>
          <cell r="C677" t="str">
            <v>LF</v>
          </cell>
        </row>
        <row r="678">
          <cell r="A678">
            <v>524.09</v>
          </cell>
          <cell r="B678" t="str">
            <v>Pipe Arch Salvaged Corrugated Steel (rise x span)</v>
          </cell>
          <cell r="C678" t="str">
            <v>LF</v>
          </cell>
        </row>
        <row r="679">
          <cell r="A679">
            <v>525.01120000000003</v>
          </cell>
          <cell r="B679" t="str">
            <v>Culvert Pipe Corrugated Aluminum 12-Inch</v>
          </cell>
          <cell r="C679" t="str">
            <v>LF</v>
          </cell>
        </row>
        <row r="680">
          <cell r="A680">
            <v>525.01149999999996</v>
          </cell>
          <cell r="B680" t="str">
            <v>Culvert Pipe Corrugated Aluminum 15-Inch</v>
          </cell>
          <cell r="C680" t="str">
            <v>LF</v>
          </cell>
        </row>
        <row r="681">
          <cell r="A681">
            <v>525.01179999999999</v>
          </cell>
          <cell r="B681" t="str">
            <v>Culvert Pipe Corrugated Aluminum 18-Inch</v>
          </cell>
          <cell r="C681" t="str">
            <v>LF</v>
          </cell>
        </row>
        <row r="682">
          <cell r="A682">
            <v>525.01210000000003</v>
          </cell>
          <cell r="B682" t="str">
            <v>Culvert Pipe Corrugated Aluminum 21-Inch</v>
          </cell>
          <cell r="C682" t="str">
            <v>LF</v>
          </cell>
        </row>
        <row r="683">
          <cell r="A683">
            <v>525.01239999999996</v>
          </cell>
          <cell r="B683" t="str">
            <v>Culvert Pipe Corrugated Aluminum 24-Inch</v>
          </cell>
          <cell r="C683" t="str">
            <v>LF</v>
          </cell>
        </row>
        <row r="684">
          <cell r="A684">
            <v>525.01300000000003</v>
          </cell>
          <cell r="B684" t="str">
            <v>Culvert Pipe Corrugated Aluminum 30-Inch</v>
          </cell>
          <cell r="C684" t="str">
            <v>LF</v>
          </cell>
        </row>
        <row r="685">
          <cell r="A685">
            <v>525.0136</v>
          </cell>
          <cell r="B685" t="str">
            <v>Culvert Pipe Corrugated Aluminum 36-Inch</v>
          </cell>
          <cell r="C685" t="str">
            <v>LF</v>
          </cell>
        </row>
        <row r="686">
          <cell r="A686">
            <v>525.01419999999996</v>
          </cell>
          <cell r="B686" t="str">
            <v>Culvert Pipe Corrugated Aluminum 42-Inch</v>
          </cell>
          <cell r="C686" t="str">
            <v>LF</v>
          </cell>
        </row>
        <row r="687">
          <cell r="A687">
            <v>525.01480000000004</v>
          </cell>
          <cell r="B687" t="str">
            <v>Culvert Pipe Corrugated Aluminum 48-Inch</v>
          </cell>
          <cell r="C687" t="str">
            <v>LF</v>
          </cell>
        </row>
        <row r="688">
          <cell r="A688">
            <v>525.0154</v>
          </cell>
          <cell r="B688" t="str">
            <v>Culvert Pipe Corrugated Aluminum 54-Inch</v>
          </cell>
          <cell r="C688" t="str">
            <v>LF</v>
          </cell>
        </row>
        <row r="689">
          <cell r="A689">
            <v>525.01599999999996</v>
          </cell>
          <cell r="B689" t="str">
            <v>Culvert Pipe Corrugated Aluminum 60-Inch</v>
          </cell>
          <cell r="C689" t="str">
            <v>LF</v>
          </cell>
        </row>
        <row r="690">
          <cell r="A690">
            <v>525.0172</v>
          </cell>
          <cell r="B690" t="str">
            <v>Culvert Pipe Corrugated Aluminum 72-Inch</v>
          </cell>
          <cell r="C690" t="str">
            <v>LF</v>
          </cell>
        </row>
        <row r="691">
          <cell r="A691">
            <v>525.01840000000004</v>
          </cell>
          <cell r="B691" t="str">
            <v>Culvert Pipe Corrugated Aluminum 84-Inch</v>
          </cell>
          <cell r="C691" t="str">
            <v>LF</v>
          </cell>
        </row>
        <row r="692">
          <cell r="A692">
            <v>525.03120000000001</v>
          </cell>
          <cell r="B692" t="str">
            <v xml:space="preserve">Aluminum Apron Endwalls for Aluminum Culvert Pipe 12-Inch </v>
          </cell>
          <cell r="C692" t="str">
            <v>EACH</v>
          </cell>
        </row>
        <row r="693">
          <cell r="A693">
            <v>525.03150000000005</v>
          </cell>
          <cell r="B693" t="str">
            <v>Aluminum Apron Endwalls for Aluminum Culvert Pipe 15-Inch</v>
          </cell>
          <cell r="C693" t="str">
            <v>EACH</v>
          </cell>
        </row>
        <row r="694">
          <cell r="A694">
            <v>525.03179999999998</v>
          </cell>
          <cell r="B694" t="str">
            <v>Aluminum Apron Endwalls for Aluminum Culvert Pipe 18-Inch</v>
          </cell>
          <cell r="C694" t="str">
            <v>EACH</v>
          </cell>
        </row>
        <row r="695">
          <cell r="A695">
            <v>525.03210000000001</v>
          </cell>
          <cell r="B695" t="str">
            <v>Aluminum Apron Endwalls for Aluminum Culvert Pipe 21-Inch</v>
          </cell>
          <cell r="C695" t="str">
            <v>EACH</v>
          </cell>
        </row>
        <row r="696">
          <cell r="A696">
            <v>525.03240000000005</v>
          </cell>
          <cell r="B696" t="str">
            <v>Aluminum Apron Endwalls for Aluminum Culvert Pipe 24-Inch</v>
          </cell>
          <cell r="C696" t="str">
            <v>EACH</v>
          </cell>
        </row>
        <row r="697">
          <cell r="A697">
            <v>525.03300000000002</v>
          </cell>
          <cell r="B697" t="str">
            <v>Aluminum Apron Endwalls for Aluminum Culvert Pipe 30-Inch</v>
          </cell>
          <cell r="C697" t="str">
            <v>EACH</v>
          </cell>
        </row>
        <row r="698">
          <cell r="A698">
            <v>525.03359999999998</v>
          </cell>
          <cell r="B698" t="str">
            <v>Aluminum Apron Endwalls for Aluminum Culvert Pipe 36-Inch</v>
          </cell>
          <cell r="C698" t="str">
            <v>EACH</v>
          </cell>
        </row>
        <row r="699">
          <cell r="A699">
            <v>525.03420000000006</v>
          </cell>
          <cell r="B699" t="str">
            <v>Aluminum Apron Endwalls for Aluminum Culvert Pipe 42-Inch</v>
          </cell>
          <cell r="C699" t="str">
            <v>EACH</v>
          </cell>
        </row>
        <row r="700">
          <cell r="A700">
            <v>525.03480000000002</v>
          </cell>
          <cell r="B700" t="str">
            <v>Aluminum Apron Endwalls for Aluminum Culvert Pipe 48-Inch</v>
          </cell>
          <cell r="C700" t="str">
            <v>EACH</v>
          </cell>
        </row>
        <row r="701">
          <cell r="A701">
            <v>525.03539999999998</v>
          </cell>
          <cell r="B701" t="str">
            <v>Aluminum Apron Endwalls for Aluminum Culvert Pipe 54-Inch</v>
          </cell>
          <cell r="C701" t="str">
            <v>EACH</v>
          </cell>
        </row>
        <row r="702">
          <cell r="A702">
            <v>525.03599999999994</v>
          </cell>
          <cell r="B702" t="str">
            <v>Aluminum Apron Endwalls for Aluminum Culvert Pipe 60-Inch</v>
          </cell>
          <cell r="C702" t="str">
            <v>EACH</v>
          </cell>
        </row>
        <row r="703">
          <cell r="A703">
            <v>525.03719999999998</v>
          </cell>
          <cell r="B703" t="str">
            <v>Aluminum Apron Endwalls for Aluminum Culvert Pipe 72-Inch</v>
          </cell>
          <cell r="C703" t="str">
            <v>EACH</v>
          </cell>
        </row>
        <row r="704">
          <cell r="A704">
            <v>525.03840000000002</v>
          </cell>
          <cell r="B704" t="str">
            <v>Aluminum Apron Endwalls for Aluminum Culvert Pipe 84-Inch</v>
          </cell>
          <cell r="C704" t="str">
            <v>EACH</v>
          </cell>
        </row>
        <row r="705">
          <cell r="A705">
            <v>525.0412</v>
          </cell>
          <cell r="B705" t="str">
            <v>Steel Apron Endwalls for Aluminum Culvert Pipe 12-Inch</v>
          </cell>
          <cell r="C705" t="str">
            <v>EACH</v>
          </cell>
        </row>
        <row r="706">
          <cell r="A706">
            <v>525.04150000000004</v>
          </cell>
          <cell r="B706" t="str">
            <v>Steel Apron Endwalls for Aluminum Culvert Pipe 15-Inch</v>
          </cell>
          <cell r="C706" t="str">
            <v>EACH</v>
          </cell>
        </row>
        <row r="707">
          <cell r="A707">
            <v>525.04179999999997</v>
          </cell>
          <cell r="B707" t="str">
            <v>Steel Apron Endwalls for Aluminum Culvert Pipe 18-Inch</v>
          </cell>
          <cell r="C707" t="str">
            <v>EACH</v>
          </cell>
        </row>
        <row r="708">
          <cell r="A708">
            <v>525.0421</v>
          </cell>
          <cell r="B708" t="str">
            <v>Steel Apron Endwalls for Aluminum Culvert Pipe 21-Inch</v>
          </cell>
          <cell r="C708" t="str">
            <v>EACH</v>
          </cell>
        </row>
        <row r="709">
          <cell r="A709">
            <v>525.04240000000004</v>
          </cell>
          <cell r="B709" t="str">
            <v>Steel Apron Endwalls for Aluminum Culvert Pipe 24-Inch</v>
          </cell>
          <cell r="C709" t="str">
            <v>EACH</v>
          </cell>
        </row>
        <row r="710">
          <cell r="A710">
            <v>525.04300000000001</v>
          </cell>
          <cell r="B710" t="str">
            <v>Steel Apron Endwalls for Aluminum Culvert Pipe 30-Inch</v>
          </cell>
          <cell r="C710" t="str">
            <v>EACH</v>
          </cell>
        </row>
        <row r="711">
          <cell r="A711">
            <v>525.04359999999997</v>
          </cell>
          <cell r="B711" t="str">
            <v>Steel Apron Endwalls for Aluminum Culvert Pipe 36-Inch</v>
          </cell>
          <cell r="C711" t="str">
            <v>EACH</v>
          </cell>
        </row>
        <row r="712">
          <cell r="A712">
            <v>525.04420000000005</v>
          </cell>
          <cell r="B712" t="str">
            <v>Steel Apron Endwalls for Aluminum Culvert Pipe 42-Inch</v>
          </cell>
          <cell r="C712" t="str">
            <v>EACH</v>
          </cell>
        </row>
        <row r="713">
          <cell r="A713">
            <v>525.04480000000001</v>
          </cell>
          <cell r="B713" t="str">
            <v>Steel Apron Endwalls for Aluminum Culvert Pipe 48-Inch</v>
          </cell>
          <cell r="C713" t="str">
            <v>EACH</v>
          </cell>
        </row>
        <row r="714">
          <cell r="A714">
            <v>525.04539999999997</v>
          </cell>
          <cell r="B714" t="str">
            <v>Steel Apron Endwalls for Aluminum Culvert Pipe 54-Inch</v>
          </cell>
          <cell r="C714" t="str">
            <v>EACH</v>
          </cell>
        </row>
        <row r="715">
          <cell r="A715">
            <v>525.04600000000005</v>
          </cell>
          <cell r="B715" t="str">
            <v>Steel Apron Endwalls for Aluminum Culvert Pipe 60-Inch</v>
          </cell>
          <cell r="C715" t="str">
            <v>EACH</v>
          </cell>
        </row>
        <row r="716">
          <cell r="A716">
            <v>525.04719999999998</v>
          </cell>
          <cell r="B716" t="str">
            <v>Steel Apron Endwalls for Aluminum Culvert Pipe 72-Inch</v>
          </cell>
          <cell r="C716" t="str">
            <v>EACH</v>
          </cell>
        </row>
        <row r="717">
          <cell r="A717">
            <v>525.04840000000002</v>
          </cell>
          <cell r="B717" t="str">
            <v>Steel Apron Endwalls for Aluminum Culvert Pipe 84-Inch</v>
          </cell>
          <cell r="C717" t="str">
            <v>EACH</v>
          </cell>
        </row>
        <row r="718">
          <cell r="A718">
            <v>526.01</v>
          </cell>
          <cell r="B718" t="str">
            <v>Temporary Structure (station)</v>
          </cell>
          <cell r="C718" t="str">
            <v>LS</v>
          </cell>
        </row>
        <row r="719">
          <cell r="A719">
            <v>527.01599999999996</v>
          </cell>
          <cell r="B719" t="str">
            <v>Pipe Structural Plate 60-Inch</v>
          </cell>
          <cell r="C719" t="str">
            <v>LF</v>
          </cell>
        </row>
        <row r="720">
          <cell r="A720">
            <v>527.0172</v>
          </cell>
          <cell r="B720" t="str">
            <v>Pipe Structural Plate 72-Inch</v>
          </cell>
          <cell r="C720" t="str">
            <v>LF</v>
          </cell>
        </row>
        <row r="721">
          <cell r="A721">
            <v>527.01840000000004</v>
          </cell>
          <cell r="B721" t="str">
            <v>Pipe Structural Plate 84-Inch</v>
          </cell>
          <cell r="C721" t="str">
            <v>LF</v>
          </cell>
        </row>
        <row r="722">
          <cell r="A722">
            <v>527.01959999999997</v>
          </cell>
          <cell r="B722" t="str">
            <v>Pipe Structural Plate 96-Inch</v>
          </cell>
          <cell r="C722" t="str">
            <v>LF</v>
          </cell>
        </row>
        <row r="723">
          <cell r="A723">
            <v>527.02080000000001</v>
          </cell>
          <cell r="B723" t="str">
            <v>Pipe Structural Plate 108-Inch</v>
          </cell>
          <cell r="C723" t="str">
            <v>LF</v>
          </cell>
        </row>
        <row r="724">
          <cell r="A724">
            <v>527.02200000000005</v>
          </cell>
          <cell r="B724" t="str">
            <v>Pipe Structural Plate 120-Inch</v>
          </cell>
          <cell r="C724" t="str">
            <v>LF</v>
          </cell>
        </row>
        <row r="725">
          <cell r="A725">
            <v>527.02319999999997</v>
          </cell>
          <cell r="B725" t="str">
            <v>Pipe Structural Plate 132-Inch</v>
          </cell>
          <cell r="C725" t="str">
            <v>LF</v>
          </cell>
        </row>
        <row r="726">
          <cell r="A726">
            <v>527.02440000000001</v>
          </cell>
          <cell r="B726" t="str">
            <v>Pipe Structural Plate 144-Inch</v>
          </cell>
          <cell r="C726" t="str">
            <v>LF</v>
          </cell>
        </row>
        <row r="727">
          <cell r="A727">
            <v>527.02560000000005</v>
          </cell>
          <cell r="B727" t="str">
            <v>Pipe Structural Plate 156-Inch</v>
          </cell>
          <cell r="C727" t="str">
            <v>LF</v>
          </cell>
        </row>
        <row r="728">
          <cell r="A728">
            <v>527.02679999999998</v>
          </cell>
          <cell r="B728" t="str">
            <v>Pipe Structural Plate 168-Inch</v>
          </cell>
          <cell r="C728" t="str">
            <v>LF</v>
          </cell>
        </row>
        <row r="729">
          <cell r="A729">
            <v>527.02800000000002</v>
          </cell>
          <cell r="B729" t="str">
            <v>Pipe Structural Plate 180-Inch</v>
          </cell>
          <cell r="C729" t="str">
            <v>LF</v>
          </cell>
        </row>
        <row r="730">
          <cell r="A730">
            <v>527.03049999999996</v>
          </cell>
          <cell r="B730" t="str">
            <v>Pipe Arch Structural Plate 6-FT Span</v>
          </cell>
          <cell r="C730" t="str">
            <v>LF</v>
          </cell>
        </row>
        <row r="731">
          <cell r="A731">
            <v>527.03099999999995</v>
          </cell>
          <cell r="B731" t="str">
            <v>Pipe Arch Structural Plate 7-FT Span</v>
          </cell>
          <cell r="C731" t="str">
            <v>LF</v>
          </cell>
        </row>
        <row r="732">
          <cell r="A732">
            <v>527.03150000000005</v>
          </cell>
          <cell r="B732" t="str">
            <v>Pipe Arch Structural Plate 8-FT Span</v>
          </cell>
          <cell r="C732" t="str">
            <v>LF</v>
          </cell>
        </row>
        <row r="733">
          <cell r="A733">
            <v>527.03200000000004</v>
          </cell>
          <cell r="B733" t="str">
            <v>Pipe Arch Structural Plate 9-FT Span</v>
          </cell>
          <cell r="C733" t="str">
            <v>LF</v>
          </cell>
        </row>
        <row r="734">
          <cell r="A734">
            <v>527.03250000000003</v>
          </cell>
          <cell r="B734" t="str">
            <v>Pipe Arch Structural Plate 10-FT Span</v>
          </cell>
          <cell r="C734" t="str">
            <v>LF</v>
          </cell>
        </row>
        <row r="735">
          <cell r="A735">
            <v>527.03300000000002</v>
          </cell>
          <cell r="B735" t="str">
            <v>Pipe Arch Structural Plate 11-FT Span</v>
          </cell>
          <cell r="C735" t="str">
            <v>LF</v>
          </cell>
        </row>
        <row r="736">
          <cell r="A736">
            <v>527.0335</v>
          </cell>
          <cell r="B736" t="str">
            <v>Pipe Arch Structural Plate 12-FT Span</v>
          </cell>
          <cell r="C736" t="str">
            <v>LF</v>
          </cell>
        </row>
        <row r="737">
          <cell r="A737">
            <v>527.03399999999999</v>
          </cell>
          <cell r="B737" t="str">
            <v>Pipe Arch Structural Plate 13-FT Span</v>
          </cell>
          <cell r="C737" t="str">
            <v>LF</v>
          </cell>
        </row>
        <row r="738">
          <cell r="A738">
            <v>527.03449999999998</v>
          </cell>
          <cell r="B738" t="str">
            <v>Pipe Arch Structural Plate 14-FT Span</v>
          </cell>
          <cell r="C738" t="str">
            <v>LF</v>
          </cell>
        </row>
        <row r="739">
          <cell r="A739">
            <v>527.03499999999997</v>
          </cell>
          <cell r="B739" t="str">
            <v>Pipe Arch Structural Plate 15-FT Span</v>
          </cell>
          <cell r="C739" t="str">
            <v>LF</v>
          </cell>
        </row>
        <row r="740">
          <cell r="A740">
            <v>527.03549999999996</v>
          </cell>
          <cell r="B740" t="str">
            <v>Pipe Arch Structural Plate 16-FT Span</v>
          </cell>
          <cell r="C740" t="str">
            <v>LF</v>
          </cell>
        </row>
        <row r="741">
          <cell r="A741">
            <v>527.03599999999994</v>
          </cell>
          <cell r="B741" t="str">
            <v>Pipe Arch Structural Plate 16.5-FT Span</v>
          </cell>
          <cell r="C741" t="str">
            <v>LF</v>
          </cell>
        </row>
        <row r="742">
          <cell r="A742">
            <v>528.01120000000003</v>
          </cell>
          <cell r="B742" t="str">
            <v>Culvert Pipe Corrugated Steel Polymer Coated 12-Inch</v>
          </cell>
          <cell r="C742" t="str">
            <v>LF</v>
          </cell>
        </row>
        <row r="743">
          <cell r="A743">
            <v>528.01149999999996</v>
          </cell>
          <cell r="B743" t="str">
            <v>Culvert Pipe Corrugated Steel Polymer Coated 15-Inch</v>
          </cell>
          <cell r="C743" t="str">
            <v>LF</v>
          </cell>
        </row>
        <row r="744">
          <cell r="A744">
            <v>528.01179999999999</v>
          </cell>
          <cell r="B744" t="str">
            <v>Culvert Pipe Corrugated Steel Polymer Coated 18-Inch</v>
          </cell>
          <cell r="C744" t="str">
            <v>LF</v>
          </cell>
        </row>
        <row r="745">
          <cell r="A745">
            <v>528.01210000000003</v>
          </cell>
          <cell r="B745" t="str">
            <v>Culvert Pipe Corrugated Steel Polymer Coated 21-Inch</v>
          </cell>
          <cell r="C745" t="str">
            <v>LF</v>
          </cell>
        </row>
        <row r="746">
          <cell r="A746">
            <v>528.01239999999996</v>
          </cell>
          <cell r="B746" t="str">
            <v>Culvert Pipe Corrugated Steel Polymer Coated 24-Inch</v>
          </cell>
          <cell r="C746" t="str">
            <v>LF</v>
          </cell>
        </row>
        <row r="747">
          <cell r="A747">
            <v>528.01300000000003</v>
          </cell>
          <cell r="B747" t="str">
            <v>Culvert Pipe Corrugated Steel Polymer Coated 30-Inch</v>
          </cell>
          <cell r="C747" t="str">
            <v>LF</v>
          </cell>
        </row>
        <row r="748">
          <cell r="A748">
            <v>528.0136</v>
          </cell>
          <cell r="B748" t="str">
            <v>Culvert Pipe Corrugated Steel Polymer Coated 36-Inch</v>
          </cell>
          <cell r="C748" t="str">
            <v>LF</v>
          </cell>
        </row>
        <row r="749">
          <cell r="A749">
            <v>528.01419999999996</v>
          </cell>
          <cell r="B749" t="str">
            <v>Culvert Pipe Corrugated Steel Polymer Coated 42-Inch</v>
          </cell>
          <cell r="C749" t="str">
            <v>LF</v>
          </cell>
        </row>
        <row r="750">
          <cell r="A750">
            <v>528.01480000000004</v>
          </cell>
          <cell r="B750" t="str">
            <v>Culvert Pipe Corrugated Steel Polymer Coated 48-Inch</v>
          </cell>
          <cell r="C750" t="str">
            <v>LF</v>
          </cell>
        </row>
        <row r="751">
          <cell r="A751">
            <v>528.0154</v>
          </cell>
          <cell r="B751" t="str">
            <v>Culvert Pipe Corrugated Steel Polymer Coated 54-Inch</v>
          </cell>
          <cell r="C751" t="str">
            <v>LF</v>
          </cell>
        </row>
        <row r="752">
          <cell r="A752">
            <v>528.01599999999996</v>
          </cell>
          <cell r="B752" t="str">
            <v>Culvert Pipe Corrugated Steel Polymer Coated 60-Inch</v>
          </cell>
          <cell r="C752" t="str">
            <v>LF</v>
          </cell>
        </row>
        <row r="753">
          <cell r="A753">
            <v>528.0172</v>
          </cell>
          <cell r="B753" t="str">
            <v>Culvert Pipe Corrugated Steel Polymer Coated 72-Inch</v>
          </cell>
          <cell r="C753" t="str">
            <v>LF</v>
          </cell>
        </row>
        <row r="754">
          <cell r="A754">
            <v>528.01840000000004</v>
          </cell>
          <cell r="B754" t="str">
            <v>Culvert Pipe Corrugated Steel Polymer Coated 84-Inch</v>
          </cell>
          <cell r="C754" t="str">
            <v>LF</v>
          </cell>
        </row>
        <row r="755">
          <cell r="A755">
            <v>528.01959999999997</v>
          </cell>
          <cell r="B755" t="str">
            <v>Culvert Pipe Corrugated Steel Polymer Coated 96-Inch</v>
          </cell>
          <cell r="C755" t="str">
            <v>LF</v>
          </cell>
        </row>
        <row r="756">
          <cell r="A756">
            <v>528.0317</v>
          </cell>
          <cell r="B756" t="str">
            <v>Pipe Arch Polymer Coated Corrugated Steel 17x13-Inch</v>
          </cell>
          <cell r="C756" t="str">
            <v>LF</v>
          </cell>
        </row>
        <row r="757">
          <cell r="A757">
            <v>528.03210000000001</v>
          </cell>
          <cell r="B757" t="str">
            <v>Pipe Arch Polymer Coated Corrugated Steel 21x15-Inch</v>
          </cell>
          <cell r="C757" t="str">
            <v>LF</v>
          </cell>
        </row>
        <row r="758">
          <cell r="A758">
            <v>528.03240000000005</v>
          </cell>
          <cell r="B758" t="str">
            <v>Pipe Arch Polymer Coated Corrugated Steel 24x18-Inch</v>
          </cell>
          <cell r="C758" t="str">
            <v>LF</v>
          </cell>
        </row>
        <row r="759">
          <cell r="A759">
            <v>528.03279999999995</v>
          </cell>
          <cell r="B759" t="str">
            <v>Pipe Arch Polymer Coated Corrugated Steel 28x20-Inch</v>
          </cell>
          <cell r="C759" t="str">
            <v>LF</v>
          </cell>
        </row>
        <row r="760">
          <cell r="A760">
            <v>528.0335</v>
          </cell>
          <cell r="B760" t="str">
            <v>Pipe Arch Polymer Coated Corrugated Steel 35x24-Inch</v>
          </cell>
          <cell r="C760" t="str">
            <v>LF</v>
          </cell>
        </row>
        <row r="761">
          <cell r="A761">
            <v>528.03420000000006</v>
          </cell>
          <cell r="B761" t="str">
            <v>Pipe Arch Polymer Coated Corrugated Steel 42x29-Inch</v>
          </cell>
          <cell r="C761" t="str">
            <v>LF</v>
          </cell>
        </row>
        <row r="762">
          <cell r="A762">
            <v>528.03489999999999</v>
          </cell>
          <cell r="B762" t="str">
            <v>Pipe Arch Polymer Coated Corrugated Steel 49x33-Inch</v>
          </cell>
          <cell r="C762" t="str">
            <v>LF</v>
          </cell>
        </row>
        <row r="763">
          <cell r="A763">
            <v>528.03570000000002</v>
          </cell>
          <cell r="B763" t="str">
            <v>Pipe Arch Polymer Coated Corrugated Steel 57x38-Inch</v>
          </cell>
          <cell r="C763" t="str">
            <v>LF</v>
          </cell>
        </row>
        <row r="764">
          <cell r="A764">
            <v>528.03639999999996</v>
          </cell>
          <cell r="B764" t="str">
            <v>Pipe Arch Polymer Coated Corrugated Steel 64x43-Inch</v>
          </cell>
          <cell r="C764" t="str">
            <v>LF</v>
          </cell>
        </row>
        <row r="765">
          <cell r="A765">
            <v>528.03710000000001</v>
          </cell>
          <cell r="B765" t="str">
            <v>Pipe Arch Polymer Coated Corrugated Steel 71x47-Inch</v>
          </cell>
          <cell r="C765" t="str">
            <v>LF</v>
          </cell>
        </row>
        <row r="766">
          <cell r="A766">
            <v>528.03769999999997</v>
          </cell>
          <cell r="B766" t="str">
            <v>Pipe Arch Polymer Coated Corrugated Steel 77x52-Inch</v>
          </cell>
          <cell r="C766" t="str">
            <v>LF</v>
          </cell>
        </row>
        <row r="767">
          <cell r="A767">
            <v>528.03830000000005</v>
          </cell>
          <cell r="B767" t="str">
            <v>Pipe Arch Polymer Coated Corrugated Steel 83x57-Inch</v>
          </cell>
          <cell r="C767" t="str">
            <v>LF</v>
          </cell>
        </row>
        <row r="768">
          <cell r="A768">
            <v>529.01120000000003</v>
          </cell>
          <cell r="B768" t="str">
            <v>Culvert Pipe Corrugated Steel Aluminum Coated 12-Inch</v>
          </cell>
          <cell r="C768" t="str">
            <v>LF</v>
          </cell>
        </row>
        <row r="769">
          <cell r="A769">
            <v>529.01149999999996</v>
          </cell>
          <cell r="B769" t="str">
            <v>Culvert Pipe Corrugated Steel Aluminum Coated 15-Inch</v>
          </cell>
          <cell r="C769" t="str">
            <v>LF</v>
          </cell>
        </row>
        <row r="770">
          <cell r="A770">
            <v>529.01179999999999</v>
          </cell>
          <cell r="B770" t="str">
            <v>Culvert Pipe Corrugated Steel Aluminum Coated 18-Inch</v>
          </cell>
          <cell r="C770" t="str">
            <v>LF</v>
          </cell>
        </row>
        <row r="771">
          <cell r="A771">
            <v>529.01210000000003</v>
          </cell>
          <cell r="B771" t="str">
            <v>Culvert Pipe Corrugated Steel Aluminum Coated 21-Inch</v>
          </cell>
          <cell r="C771" t="str">
            <v>LF</v>
          </cell>
        </row>
        <row r="772">
          <cell r="A772">
            <v>529.01239999999996</v>
          </cell>
          <cell r="B772" t="str">
            <v>Culvert Pipe Corrugated Steel Aluminum Coated 24-Inch</v>
          </cell>
          <cell r="C772" t="str">
            <v>LF</v>
          </cell>
        </row>
        <row r="773">
          <cell r="A773">
            <v>529.01300000000003</v>
          </cell>
          <cell r="B773" t="str">
            <v>Culvert Pipe Corrugated Steel Aluminum Coated 30-Inch</v>
          </cell>
          <cell r="C773" t="str">
            <v>LF</v>
          </cell>
        </row>
        <row r="774">
          <cell r="A774">
            <v>529.0136</v>
          </cell>
          <cell r="B774" t="str">
            <v>Culvert Pipe Corrugated Steel Aluminum Coated 36-Inch</v>
          </cell>
          <cell r="C774" t="str">
            <v>LF</v>
          </cell>
        </row>
        <row r="775">
          <cell r="A775">
            <v>529.01419999999996</v>
          </cell>
          <cell r="B775" t="str">
            <v>Culvert Pipe Corrugated Steel Aluminum Coated 42-Inch</v>
          </cell>
          <cell r="C775" t="str">
            <v>LF</v>
          </cell>
        </row>
        <row r="776">
          <cell r="A776">
            <v>529.01480000000004</v>
          </cell>
          <cell r="B776" t="str">
            <v>Culvert Pipe Corrugated Steel Aluminum Coated 48-Inch</v>
          </cell>
          <cell r="C776" t="str">
            <v>LF</v>
          </cell>
        </row>
        <row r="777">
          <cell r="A777">
            <v>529.0154</v>
          </cell>
          <cell r="B777" t="str">
            <v>Culvert Pipe Corrugated Steel Aluminum Coated 54-Inch</v>
          </cell>
          <cell r="C777" t="str">
            <v>LF</v>
          </cell>
        </row>
        <row r="778">
          <cell r="A778">
            <v>529.01599999999996</v>
          </cell>
          <cell r="B778" t="str">
            <v>Culvert Pipe Corrugated Steel Aluminum Coated 60-Inch</v>
          </cell>
          <cell r="C778" t="str">
            <v>LF</v>
          </cell>
        </row>
        <row r="779">
          <cell r="A779">
            <v>529.0172</v>
          </cell>
          <cell r="B779" t="str">
            <v>Culvert Pipe Corrugated Steel Aluminum Coated 72-Inch</v>
          </cell>
          <cell r="C779" t="str">
            <v>LF</v>
          </cell>
        </row>
        <row r="780">
          <cell r="A780">
            <v>529.01840000000004</v>
          </cell>
          <cell r="B780" t="str">
            <v>Culvert Pipe Corrugated Steel Aluminum Coated 84-Inch</v>
          </cell>
          <cell r="C780" t="str">
            <v>LF</v>
          </cell>
        </row>
        <row r="781">
          <cell r="A781">
            <v>529.01959999999997</v>
          </cell>
          <cell r="B781" t="str">
            <v>Culvert Pipe Corrugated Steel Aluminum Coated 96-Inch</v>
          </cell>
          <cell r="C781" t="str">
            <v>LF</v>
          </cell>
        </row>
        <row r="782">
          <cell r="A782">
            <v>529.0317</v>
          </cell>
          <cell r="B782" t="str">
            <v>Pipe Arch Corrugated Steel Aluminum Coated 17x13-Inch</v>
          </cell>
          <cell r="C782" t="str">
            <v>LF</v>
          </cell>
        </row>
        <row r="783">
          <cell r="A783">
            <v>529.03210000000001</v>
          </cell>
          <cell r="B783" t="str">
            <v>Pipe Arch Corrugated Steel Aluminum Coated 21x15-Inch</v>
          </cell>
          <cell r="C783" t="str">
            <v>LF</v>
          </cell>
        </row>
        <row r="784">
          <cell r="A784">
            <v>529.03240000000005</v>
          </cell>
          <cell r="B784" t="str">
            <v>Pipe Arch Corrugated Steel Aluminum Coated 24x18-Inch</v>
          </cell>
          <cell r="C784" t="str">
            <v>LF</v>
          </cell>
        </row>
        <row r="785">
          <cell r="A785">
            <v>529.03279999999995</v>
          </cell>
          <cell r="B785" t="str">
            <v>Pipe Arch Corrugated Steel Aluminum Coated 28x20-Inch</v>
          </cell>
          <cell r="C785" t="str">
            <v>LF</v>
          </cell>
        </row>
        <row r="786">
          <cell r="A786">
            <v>529.0335</v>
          </cell>
          <cell r="B786" t="str">
            <v>Pipe Arch Corrugated Steel Aluminum Coated 35x24-Inch</v>
          </cell>
          <cell r="C786" t="str">
            <v>LF</v>
          </cell>
        </row>
        <row r="787">
          <cell r="A787">
            <v>529.03420000000006</v>
          </cell>
          <cell r="B787" t="str">
            <v>Pipe Arch Corrugated Steel Aluminum Coated 42x29-Inch</v>
          </cell>
          <cell r="C787" t="str">
            <v>LF</v>
          </cell>
        </row>
        <row r="788">
          <cell r="A788">
            <v>529.03489999999999</v>
          </cell>
          <cell r="B788" t="str">
            <v>Pipe Arch Corrugated Steel Aluminum Coated 49x33-Inch</v>
          </cell>
          <cell r="C788" t="str">
            <v>LF</v>
          </cell>
        </row>
        <row r="789">
          <cell r="A789">
            <v>529.03570000000002</v>
          </cell>
          <cell r="B789" t="str">
            <v>Pipe Arch Corrugated Steel Aluminum Coated 57x38-Inch</v>
          </cell>
          <cell r="C789" t="str">
            <v>LF</v>
          </cell>
        </row>
        <row r="790">
          <cell r="A790">
            <v>529.03639999999996</v>
          </cell>
          <cell r="B790" t="str">
            <v>Pipe Arch Corrugated Steel Aluminum Coated 64x43-Inch</v>
          </cell>
          <cell r="C790" t="str">
            <v>LF</v>
          </cell>
        </row>
        <row r="791">
          <cell r="A791">
            <v>529.03710000000001</v>
          </cell>
          <cell r="B791" t="str">
            <v>Pipe Arch Corrugated Steel Aluminum Coated 71x47-Inch</v>
          </cell>
          <cell r="C791" t="str">
            <v>LF</v>
          </cell>
        </row>
        <row r="792">
          <cell r="A792">
            <v>529.03769999999997</v>
          </cell>
          <cell r="B792" t="str">
            <v>Pipe Arch Corrugated Steel Aluminum Coated 77x52-Inch</v>
          </cell>
          <cell r="C792" t="str">
            <v>LF</v>
          </cell>
        </row>
        <row r="793">
          <cell r="A793">
            <v>529.03830000000005</v>
          </cell>
          <cell r="B793" t="str">
            <v>Pipe Arch Corrugated Steel Aluminum Coated 83x57-Inch</v>
          </cell>
          <cell r="C793" t="str">
            <v>LF</v>
          </cell>
        </row>
        <row r="794">
          <cell r="A794">
            <v>530.01120000000003</v>
          </cell>
          <cell r="B794" t="str">
            <v>Culvert Pipe Corrugated Polyethylene 12-Inch</v>
          </cell>
          <cell r="C794" t="str">
            <v>LF</v>
          </cell>
        </row>
        <row r="795">
          <cell r="A795">
            <v>530.01149999999996</v>
          </cell>
          <cell r="B795" t="str">
            <v>Culvert Pipe Corrugated Polyethylene 15-Inch</v>
          </cell>
          <cell r="C795" t="str">
            <v>LF</v>
          </cell>
        </row>
        <row r="796">
          <cell r="A796">
            <v>530.01179999999999</v>
          </cell>
          <cell r="B796" t="str">
            <v>Culvert Pipe Corrugated Polyethylene 18-Inch</v>
          </cell>
          <cell r="C796" t="str">
            <v>LF</v>
          </cell>
        </row>
        <row r="797">
          <cell r="A797">
            <v>530.01239999999996</v>
          </cell>
          <cell r="B797" t="str">
            <v>Culvert Pipe Corrugated Polyethylene 24-Inch</v>
          </cell>
          <cell r="C797" t="str">
            <v>LF</v>
          </cell>
        </row>
        <row r="798">
          <cell r="A798">
            <v>530.01300000000003</v>
          </cell>
          <cell r="B798" t="str">
            <v xml:space="preserve">Culvert Pipe Corrugated Polyethylene 30-Inch </v>
          </cell>
          <cell r="C798" t="str">
            <v>LF</v>
          </cell>
        </row>
        <row r="799">
          <cell r="A799">
            <v>530.0136</v>
          </cell>
          <cell r="B799" t="str">
            <v xml:space="preserve">Culvert Pipe Corrugated Polyethylene 36-Inch </v>
          </cell>
          <cell r="C799" t="str">
            <v>LF</v>
          </cell>
        </row>
        <row r="800">
          <cell r="A800">
            <v>601.01049999999998</v>
          </cell>
          <cell r="B800" t="str">
            <v>Concrete Curb Type A</v>
          </cell>
          <cell r="C800" t="str">
            <v>LF</v>
          </cell>
        </row>
        <row r="801">
          <cell r="A801">
            <v>601.01099999999997</v>
          </cell>
          <cell r="B801" t="str">
            <v>Concrete Curb Type D</v>
          </cell>
          <cell r="C801" t="str">
            <v>LF</v>
          </cell>
        </row>
        <row r="802">
          <cell r="A802">
            <v>601.01149999999996</v>
          </cell>
          <cell r="B802" t="str">
            <v>Concrete Curb Type G</v>
          </cell>
          <cell r="C802" t="str">
            <v>LF</v>
          </cell>
        </row>
        <row r="803">
          <cell r="A803">
            <v>601.01199999999994</v>
          </cell>
          <cell r="B803" t="str">
            <v>Concrete Curb Type J</v>
          </cell>
          <cell r="C803" t="str">
            <v>LF</v>
          </cell>
        </row>
        <row r="804">
          <cell r="A804">
            <v>601.01499999999999</v>
          </cell>
          <cell r="B804" t="str">
            <v>Concrete Curb Integral Type D</v>
          </cell>
          <cell r="C804" t="str">
            <v>LF</v>
          </cell>
        </row>
        <row r="805">
          <cell r="A805">
            <v>601.01549999999997</v>
          </cell>
          <cell r="B805" t="str">
            <v>Concrete Curb Integral Type J</v>
          </cell>
          <cell r="C805" t="str">
            <v>LF</v>
          </cell>
        </row>
        <row r="806">
          <cell r="A806">
            <v>601.02049999999997</v>
          </cell>
          <cell r="B806" t="str">
            <v>Concrete Gutter 24-Inch</v>
          </cell>
          <cell r="C806" t="str">
            <v>LF</v>
          </cell>
        </row>
        <row r="807">
          <cell r="A807">
            <v>601.03179999999998</v>
          </cell>
          <cell r="B807" t="str">
            <v>Concrete Curb &amp; Gutter 18-Inch</v>
          </cell>
          <cell r="C807" t="str">
            <v>LF</v>
          </cell>
        </row>
        <row r="808">
          <cell r="A808">
            <v>601.03219999999999</v>
          </cell>
          <cell r="B808" t="str">
            <v>Concrete Curb &amp; Gutter 22-Inch</v>
          </cell>
          <cell r="C808" t="str">
            <v>LF</v>
          </cell>
        </row>
        <row r="809">
          <cell r="A809">
            <v>601.03309999999999</v>
          </cell>
          <cell r="B809" t="str">
            <v>Concrete Curb &amp; Gutter 31-Inch</v>
          </cell>
          <cell r="C809" t="str">
            <v>LF</v>
          </cell>
        </row>
        <row r="810">
          <cell r="A810">
            <v>601.03420000000006</v>
          </cell>
          <cell r="B810" t="str">
            <v>Concrete Curb &amp; Gutter Integral 18-Inch</v>
          </cell>
          <cell r="C810" t="str">
            <v>LF</v>
          </cell>
        </row>
        <row r="811">
          <cell r="A811">
            <v>601.03440000000001</v>
          </cell>
          <cell r="B811" t="str">
            <v>Concrete Curb &amp; Gutter Integral 36-Inch</v>
          </cell>
          <cell r="C811" t="str">
            <v>LF</v>
          </cell>
        </row>
        <row r="812">
          <cell r="A812">
            <v>601.04049999999995</v>
          </cell>
          <cell r="B812" t="str">
            <v>Concrete Curb &amp; Gutter 18-Inch Type A</v>
          </cell>
          <cell r="C812" t="str">
            <v>LF</v>
          </cell>
        </row>
        <row r="813">
          <cell r="A813">
            <v>601.04070000000002</v>
          </cell>
          <cell r="B813" t="str">
            <v>Concrete Curb &amp; Gutter 18-Inch Type D</v>
          </cell>
          <cell r="C813" t="str">
            <v>LF</v>
          </cell>
        </row>
        <row r="814">
          <cell r="A814">
            <v>601.04089999999997</v>
          </cell>
          <cell r="B814" t="str">
            <v>Concrete Curb &amp; Gutter 30-Inch Type A</v>
          </cell>
          <cell r="C814" t="str">
            <v>LF</v>
          </cell>
        </row>
        <row r="815">
          <cell r="A815">
            <v>601.04110000000003</v>
          </cell>
          <cell r="B815" t="str">
            <v>Concrete Curb &amp; Gutter 30-Inch Type D</v>
          </cell>
          <cell r="C815" t="str">
            <v>LF</v>
          </cell>
        </row>
        <row r="816">
          <cell r="A816">
            <v>601.04129999999998</v>
          </cell>
          <cell r="B816" t="str">
            <v>Concrete Curb &amp; Gutter 6-Inch Sloped 30-Inch Type G</v>
          </cell>
          <cell r="C816" t="str">
            <v>LF</v>
          </cell>
        </row>
        <row r="817">
          <cell r="A817">
            <v>601.04150000000004</v>
          </cell>
          <cell r="B817" t="str">
            <v>Concrete Curb &amp; Gutter 6-Inch Sloped 30-Inch Type J</v>
          </cell>
          <cell r="C817" t="str">
            <v>LF</v>
          </cell>
        </row>
        <row r="818">
          <cell r="A818">
            <v>601.04169999999999</v>
          </cell>
          <cell r="B818" t="str">
            <v>Concrete Curb &amp; Gutter 30-Inch Type K</v>
          </cell>
          <cell r="C818" t="str">
            <v>LF</v>
          </cell>
        </row>
        <row r="819">
          <cell r="A819">
            <v>601.04190000000006</v>
          </cell>
          <cell r="B819" t="str">
            <v>Concrete Curb &amp; Gutter 30-Inch Type L</v>
          </cell>
          <cell r="C819" t="str">
            <v>LF</v>
          </cell>
        </row>
        <row r="820">
          <cell r="A820">
            <v>601.04520000000002</v>
          </cell>
          <cell r="B820" t="str">
            <v>Concrete Curb &amp; Gutter Integral 30-Inch Type D</v>
          </cell>
          <cell r="C820" t="str">
            <v>LF</v>
          </cell>
        </row>
        <row r="821">
          <cell r="A821">
            <v>601.04539999999997</v>
          </cell>
          <cell r="B821" t="str">
            <v>Concrete Curb &amp; Gutter Integral 30-Inch Type J</v>
          </cell>
          <cell r="C821" t="str">
            <v>LF</v>
          </cell>
        </row>
        <row r="822">
          <cell r="A822">
            <v>601.04560000000004</v>
          </cell>
          <cell r="B822" t="str">
            <v>Concrete Curb &amp; Gutter Integral 30-Inch Type L</v>
          </cell>
          <cell r="C822" t="str">
            <v>LF</v>
          </cell>
        </row>
        <row r="823">
          <cell r="A823">
            <v>601.05010000000004</v>
          </cell>
          <cell r="B823" t="str">
            <v>Concrete Curb &amp; Gutter Integral 4-Inch Sloped 36-Inch</v>
          </cell>
          <cell r="C823" t="str">
            <v>LF</v>
          </cell>
        </row>
        <row r="824">
          <cell r="A824">
            <v>601.05110000000002</v>
          </cell>
          <cell r="B824" t="str">
            <v>Concrete Curb &amp; Gutter Integral 6-Inch Sloped 36-Inch</v>
          </cell>
          <cell r="C824" t="str">
            <v>LF</v>
          </cell>
        </row>
        <row r="825">
          <cell r="A825">
            <v>601.05510000000004</v>
          </cell>
          <cell r="B825" t="str">
            <v>Concrete Curb &amp; Gutter 4-Inch Sloped 36-Inch Type A</v>
          </cell>
          <cell r="C825" t="str">
            <v>LF</v>
          </cell>
        </row>
        <row r="826">
          <cell r="A826">
            <v>601.05529999999999</v>
          </cell>
          <cell r="B826" t="str">
            <v>Concrete Curb &amp; Gutter 4-Inch Sloped 36-Inch Type D</v>
          </cell>
          <cell r="C826" t="str">
            <v>LF</v>
          </cell>
        </row>
        <row r="827">
          <cell r="A827">
            <v>601.05550000000005</v>
          </cell>
          <cell r="B827" t="str">
            <v>Concrete Curb &amp; Gutter 6-Inch Sloped 36-Inch Type A</v>
          </cell>
          <cell r="C827" t="str">
            <v>LF</v>
          </cell>
        </row>
        <row r="828">
          <cell r="A828">
            <v>601.0557</v>
          </cell>
          <cell r="B828" t="str">
            <v>Concrete Curb &amp; Gutter 6-Inch Sloped 36-Inch Type D</v>
          </cell>
          <cell r="C828" t="str">
            <v>LF</v>
          </cell>
        </row>
        <row r="829">
          <cell r="A829">
            <v>601.05740000000003</v>
          </cell>
          <cell r="B829" t="str">
            <v>Concrete Curb &amp; Gutter 4-Inch Sloped 30-Inch Type G</v>
          </cell>
          <cell r="C829" t="str">
            <v>LF</v>
          </cell>
        </row>
        <row r="830">
          <cell r="A830">
            <v>601.05759999999998</v>
          </cell>
          <cell r="B830" t="str">
            <v>Concrete Curb &amp; Gutter 4-Inch Sloped 30-Inch Type J</v>
          </cell>
          <cell r="C830" t="str">
            <v>LF</v>
          </cell>
        </row>
        <row r="831">
          <cell r="A831">
            <v>601.05799999999999</v>
          </cell>
          <cell r="B831" t="str">
            <v>Concrete Curb &amp; Gutter 4-Inch Sloped 36-Inch Type R</v>
          </cell>
          <cell r="C831" t="str">
            <v>LF</v>
          </cell>
        </row>
        <row r="832">
          <cell r="A832">
            <v>601.05820000000006</v>
          </cell>
          <cell r="B832" t="str">
            <v>Concrete Curb &amp; Gutter 4-Inch Sloped 36-Inch Type T</v>
          </cell>
          <cell r="C832" t="str">
            <v>LF</v>
          </cell>
        </row>
        <row r="833">
          <cell r="A833">
            <v>601.05999999999995</v>
          </cell>
          <cell r="B833" t="str">
            <v>Concrete Curb Pedestrian</v>
          </cell>
          <cell r="C833" t="str">
            <v>LF</v>
          </cell>
        </row>
        <row r="834">
          <cell r="A834">
            <v>602.04049999999995</v>
          </cell>
          <cell r="B834" t="str">
            <v>Concrete Sidewalk 4-Inch</v>
          </cell>
          <cell r="C834" t="str">
            <v>SF</v>
          </cell>
        </row>
        <row r="835">
          <cell r="A835">
            <v>602.04100000000005</v>
          </cell>
          <cell r="B835" t="str">
            <v>Concrete Sidewalk 5-Inch</v>
          </cell>
          <cell r="C835" t="str">
            <v>SF</v>
          </cell>
        </row>
        <row r="836">
          <cell r="A836">
            <v>602.04150000000004</v>
          </cell>
          <cell r="B836" t="str">
            <v>Concrete Sidewalk 6-Inch</v>
          </cell>
          <cell r="C836" t="str">
            <v>SF</v>
          </cell>
        </row>
        <row r="837">
          <cell r="A837">
            <v>602.04200000000003</v>
          </cell>
          <cell r="B837" t="str">
            <v>Concrete Sidewalk 7-Inch</v>
          </cell>
          <cell r="C837" t="str">
            <v>SF</v>
          </cell>
        </row>
        <row r="838">
          <cell r="A838">
            <v>602.05050000000006</v>
          </cell>
          <cell r="B838" t="str">
            <v>Curb Ramp Detectable Warning Field Yellow</v>
          </cell>
          <cell r="C838" t="str">
            <v>SF</v>
          </cell>
        </row>
        <row r="839">
          <cell r="A839">
            <v>602.05100000000004</v>
          </cell>
          <cell r="B839" t="str">
            <v>Curb Ramp Detectable Warning Field White</v>
          </cell>
          <cell r="C839" t="str">
            <v>SF</v>
          </cell>
        </row>
        <row r="840">
          <cell r="A840">
            <v>602.05150000000003</v>
          </cell>
          <cell r="B840" t="str">
            <v>Curb Ramp Detectable Warning Field Natural Patina</v>
          </cell>
          <cell r="C840" t="str">
            <v>SF</v>
          </cell>
        </row>
        <row r="841">
          <cell r="A841">
            <v>602.1</v>
          </cell>
          <cell r="B841" t="str">
            <v>Concrete Loading Zone</v>
          </cell>
          <cell r="C841" t="str">
            <v>SF</v>
          </cell>
        </row>
        <row r="842">
          <cell r="A842">
            <v>602.15</v>
          </cell>
          <cell r="B842" t="str">
            <v>Concrete Steps</v>
          </cell>
          <cell r="C842" t="str">
            <v>SF</v>
          </cell>
        </row>
        <row r="843">
          <cell r="A843">
            <v>602.24</v>
          </cell>
          <cell r="B843" t="str">
            <v>Concrete Safety Islands</v>
          </cell>
          <cell r="C843" t="str">
            <v>SF</v>
          </cell>
        </row>
        <row r="844">
          <cell r="A844">
            <v>603.01049999999998</v>
          </cell>
          <cell r="B844" t="str">
            <v>Concrete Barrier Single-Faced 32-Inch</v>
          </cell>
          <cell r="C844" t="str">
            <v>LF</v>
          </cell>
        </row>
        <row r="845">
          <cell r="A845">
            <v>603.02049999999997</v>
          </cell>
          <cell r="B845" t="str">
            <v>Concrete Barrier Double-Faced 32-Inch</v>
          </cell>
          <cell r="C845" t="str">
            <v>LF</v>
          </cell>
        </row>
        <row r="846">
          <cell r="A846">
            <v>603.04049999999995</v>
          </cell>
          <cell r="B846" t="str">
            <v>Concrete Barrier Transition Section 32-Inch</v>
          </cell>
          <cell r="C846" t="str">
            <v>LF</v>
          </cell>
        </row>
        <row r="847">
          <cell r="A847">
            <v>603.11320000000001</v>
          </cell>
          <cell r="B847" t="str">
            <v>Concrete Barrier Type S32</v>
          </cell>
          <cell r="C847" t="str">
            <v>LF</v>
          </cell>
        </row>
        <row r="848">
          <cell r="A848">
            <v>603.11360000000002</v>
          </cell>
          <cell r="B848" t="str">
            <v>Concrete Barrier Type S36</v>
          </cell>
          <cell r="C848" t="str">
            <v>LF</v>
          </cell>
        </row>
        <row r="849">
          <cell r="A849">
            <v>603.11419999999998</v>
          </cell>
          <cell r="B849" t="str">
            <v>Concrete Barrier Type S42</v>
          </cell>
          <cell r="C849" t="str">
            <v>LF</v>
          </cell>
        </row>
        <row r="850">
          <cell r="A850">
            <v>603.11559999999997</v>
          </cell>
          <cell r="B850" t="str">
            <v>Concrete Barrier Type S56</v>
          </cell>
          <cell r="C850" t="str">
            <v>LF</v>
          </cell>
        </row>
        <row r="851">
          <cell r="A851">
            <v>603.1232</v>
          </cell>
          <cell r="B851" t="str">
            <v>Concrete Barrier Type S32A</v>
          </cell>
          <cell r="C851" t="str">
            <v>LF</v>
          </cell>
        </row>
        <row r="852">
          <cell r="A852">
            <v>603.12360000000001</v>
          </cell>
          <cell r="B852" t="str">
            <v>Concrete Barrier Type S36A</v>
          </cell>
          <cell r="C852" t="str">
            <v>LF</v>
          </cell>
        </row>
        <row r="853">
          <cell r="A853">
            <v>603.12419999999997</v>
          </cell>
          <cell r="B853" t="str">
            <v>Concrete Barrier Type S42A</v>
          </cell>
          <cell r="C853" t="str">
            <v>LF</v>
          </cell>
        </row>
        <row r="854">
          <cell r="A854">
            <v>603.12559999999996</v>
          </cell>
          <cell r="B854" t="str">
            <v>Concrete Barrier Type S56A</v>
          </cell>
          <cell r="C854" t="str">
            <v>LF</v>
          </cell>
        </row>
        <row r="855">
          <cell r="A855">
            <v>603.13319999999999</v>
          </cell>
          <cell r="B855" t="str">
            <v>Concrete Barrier Type S32B</v>
          </cell>
          <cell r="C855" t="str">
            <v>LF</v>
          </cell>
        </row>
        <row r="856">
          <cell r="A856">
            <v>603.1336</v>
          </cell>
          <cell r="B856" t="str">
            <v>Concrete Barrier Type S36B</v>
          </cell>
          <cell r="C856" t="str">
            <v>LF</v>
          </cell>
        </row>
        <row r="857">
          <cell r="A857">
            <v>603.13419999999996</v>
          </cell>
          <cell r="B857" t="str">
            <v>Concrete Barrier Type S42B</v>
          </cell>
          <cell r="C857" t="str">
            <v>LF</v>
          </cell>
        </row>
        <row r="858">
          <cell r="A858">
            <v>603.13559999999995</v>
          </cell>
          <cell r="B858" t="str">
            <v>Concrete Barrier Type S56B</v>
          </cell>
          <cell r="C858" t="str">
            <v>LF</v>
          </cell>
        </row>
        <row r="859">
          <cell r="A859">
            <v>603.14359999999999</v>
          </cell>
          <cell r="B859" t="str">
            <v>Concrete Barrier Type S36C</v>
          </cell>
          <cell r="C859" t="str">
            <v>LF</v>
          </cell>
        </row>
        <row r="860">
          <cell r="A860">
            <v>603.14419999999996</v>
          </cell>
          <cell r="B860" t="str">
            <v>Concrete Barrier Type S42C</v>
          </cell>
          <cell r="C860" t="str">
            <v>LF</v>
          </cell>
        </row>
        <row r="861">
          <cell r="A861">
            <v>603.14559999999994</v>
          </cell>
          <cell r="B861" t="str">
            <v>Concrete Barrier Type S56C</v>
          </cell>
          <cell r="C861" t="str">
            <v>LF</v>
          </cell>
        </row>
        <row r="862">
          <cell r="A862">
            <v>603.21320000000003</v>
          </cell>
          <cell r="B862" t="str">
            <v>Concrete Barrier Fixed Object Protection Type S32</v>
          </cell>
          <cell r="C862" t="str">
            <v>LF</v>
          </cell>
        </row>
        <row r="863">
          <cell r="A863">
            <v>603.21360000000004</v>
          </cell>
          <cell r="B863" t="str">
            <v>Concrete Barrier Fixed Object Protection Type S36</v>
          </cell>
          <cell r="C863" t="str">
            <v>LF</v>
          </cell>
        </row>
        <row r="864">
          <cell r="A864">
            <v>603.21420000000001</v>
          </cell>
          <cell r="B864" t="str">
            <v>Concrete Barrier Fixed Object Protection Type S42</v>
          </cell>
          <cell r="C864" t="str">
            <v>LF</v>
          </cell>
        </row>
        <row r="865">
          <cell r="A865">
            <v>603.21559999999999</v>
          </cell>
          <cell r="B865" t="str">
            <v>Concrete Barrier Fixed Object Protection Type S56</v>
          </cell>
          <cell r="C865" t="str">
            <v>LF</v>
          </cell>
        </row>
        <row r="866">
          <cell r="A866">
            <v>603.31110000000001</v>
          </cell>
          <cell r="B866" t="str">
            <v>Concrete Barrier Transition Type NJ32SF to S32</v>
          </cell>
          <cell r="C866" t="str">
            <v>EACH</v>
          </cell>
        </row>
        <row r="867">
          <cell r="A867">
            <v>603.31129999999996</v>
          </cell>
          <cell r="B867" t="str">
            <v>Concrete Barrier Transition Type NJ32SF to S36</v>
          </cell>
          <cell r="C867" t="str">
            <v>EACH</v>
          </cell>
        </row>
        <row r="868">
          <cell r="A868">
            <v>603.31550000000004</v>
          </cell>
          <cell r="B868" t="str">
            <v>Concrete Barrier Transition Type NJ42SF to S42</v>
          </cell>
          <cell r="C868" t="str">
            <v>EACH</v>
          </cell>
        </row>
        <row r="869">
          <cell r="A869">
            <v>603.3175</v>
          </cell>
          <cell r="B869" t="str">
            <v>Concrete Barrier Transition Type NJ51SF to S42</v>
          </cell>
          <cell r="C869" t="str">
            <v>EACH</v>
          </cell>
        </row>
        <row r="870">
          <cell r="A870">
            <v>603.3211</v>
          </cell>
          <cell r="B870" t="str">
            <v>Concrete Barrier Transition Type F32SF to S32</v>
          </cell>
          <cell r="C870" t="str">
            <v>EACH</v>
          </cell>
        </row>
        <row r="871">
          <cell r="A871">
            <v>603.32129999999995</v>
          </cell>
          <cell r="B871" t="str">
            <v>Concrete Barrier Transition Type F32SF to S36</v>
          </cell>
          <cell r="C871" t="str">
            <v>EACH</v>
          </cell>
        </row>
        <row r="872">
          <cell r="A872">
            <v>603.32550000000003</v>
          </cell>
          <cell r="B872" t="str">
            <v>Concrete Barrier Transition Type F42SF to S42</v>
          </cell>
          <cell r="C872" t="str">
            <v>EACH</v>
          </cell>
        </row>
        <row r="873">
          <cell r="A873">
            <v>603.32749999999999</v>
          </cell>
          <cell r="B873" t="str">
            <v>Concrete Barrier Transition Type F51SF to S42</v>
          </cell>
          <cell r="C873" t="str">
            <v>EACH</v>
          </cell>
        </row>
        <row r="874">
          <cell r="A874">
            <v>603.3279</v>
          </cell>
          <cell r="B874" t="str">
            <v>Concrete Barrier Transition Type F51SF to S56</v>
          </cell>
          <cell r="C874" t="str">
            <v>EACH</v>
          </cell>
        </row>
        <row r="875">
          <cell r="A875">
            <v>603.33109999999999</v>
          </cell>
          <cell r="B875" t="str">
            <v>Concrete Barrier Transition Type NJ32DF to S32</v>
          </cell>
          <cell r="C875" t="str">
            <v>EACH</v>
          </cell>
        </row>
        <row r="876">
          <cell r="A876">
            <v>603.33130000000006</v>
          </cell>
          <cell r="B876" t="str">
            <v>Concrete Barrier Transition Type NJ32DF to S36</v>
          </cell>
          <cell r="C876" t="str">
            <v>EACH</v>
          </cell>
        </row>
        <row r="877">
          <cell r="A877">
            <v>603.33550000000002</v>
          </cell>
          <cell r="B877" t="str">
            <v>Concrete Barrier Transition Type NJ42DF to S42</v>
          </cell>
          <cell r="C877" t="str">
            <v>EACH</v>
          </cell>
        </row>
        <row r="878">
          <cell r="A878">
            <v>603.33749999999998</v>
          </cell>
          <cell r="B878" t="str">
            <v>Concrete Barrier Transition Type NJ51DF to S42</v>
          </cell>
          <cell r="C878" t="str">
            <v>EACH</v>
          </cell>
        </row>
        <row r="879">
          <cell r="A879">
            <v>603.34109999999998</v>
          </cell>
          <cell r="B879" t="str">
            <v>Concrete Barrier Transition Type F32DF to S32</v>
          </cell>
          <cell r="C879" t="str">
            <v>EACH</v>
          </cell>
        </row>
        <row r="880">
          <cell r="A880">
            <v>603.34130000000005</v>
          </cell>
          <cell r="B880" t="str">
            <v>Concrete Barrier Transition Type F32DF to S36</v>
          </cell>
          <cell r="C880" t="str">
            <v>EACH</v>
          </cell>
        </row>
        <row r="881">
          <cell r="A881">
            <v>603.34550000000002</v>
          </cell>
          <cell r="B881" t="str">
            <v>Concrete Barrier Transition Type F42DF to S42</v>
          </cell>
          <cell r="C881" t="str">
            <v>EACH</v>
          </cell>
        </row>
        <row r="882">
          <cell r="A882">
            <v>603.34749999999997</v>
          </cell>
          <cell r="B882" t="str">
            <v>Concrete Barrier Transition Type F51DF to S42</v>
          </cell>
          <cell r="C882" t="str">
            <v>EACH</v>
          </cell>
        </row>
        <row r="883">
          <cell r="A883">
            <v>603.35130000000004</v>
          </cell>
          <cell r="B883" t="str">
            <v>Concrete Barrier Transition Type S32 to S36</v>
          </cell>
          <cell r="C883" t="str">
            <v>EACH</v>
          </cell>
        </row>
        <row r="884">
          <cell r="A884">
            <v>603.35350000000005</v>
          </cell>
          <cell r="B884" t="str">
            <v>Concrete Barrier Transition Type S36 to S42</v>
          </cell>
          <cell r="C884" t="str">
            <v>EACH</v>
          </cell>
        </row>
        <row r="885">
          <cell r="A885">
            <v>603.35590000000002</v>
          </cell>
          <cell r="B885" t="str">
            <v>Concrete Barrier Transition Type S42 to S56</v>
          </cell>
          <cell r="C885" t="str">
            <v>EACH</v>
          </cell>
        </row>
        <row r="886">
          <cell r="A886">
            <v>603.36109999999996</v>
          </cell>
          <cell r="B886" t="str">
            <v>Concrete Barrier Transition Type V32 to S32</v>
          </cell>
          <cell r="C886" t="str">
            <v>EACH</v>
          </cell>
        </row>
        <row r="887">
          <cell r="A887">
            <v>603.36130000000003</v>
          </cell>
          <cell r="B887" t="str">
            <v>Concrete Barrier Transition Type V32 to S36</v>
          </cell>
          <cell r="C887" t="str">
            <v>EACH</v>
          </cell>
        </row>
        <row r="888">
          <cell r="A888">
            <v>603.3655</v>
          </cell>
          <cell r="B888" t="str">
            <v>Concrete Barrier Transition Type V42 to S42</v>
          </cell>
          <cell r="C888" t="str">
            <v>EACH</v>
          </cell>
        </row>
        <row r="889">
          <cell r="A889">
            <v>603.36749999999995</v>
          </cell>
          <cell r="B889" t="str">
            <v>Concrete Barrier Transition Type V51 to S42</v>
          </cell>
          <cell r="C889" t="str">
            <v>EACH</v>
          </cell>
        </row>
        <row r="890">
          <cell r="A890">
            <v>603.36990000000003</v>
          </cell>
          <cell r="B890" t="str">
            <v>Concrete Barrier Transition Type V56 to S56</v>
          </cell>
          <cell r="C890" t="str">
            <v>EACH</v>
          </cell>
        </row>
        <row r="891">
          <cell r="A891">
            <v>603.79999999999995</v>
          </cell>
          <cell r="B891" t="str">
            <v>Concrete Barrier Temporary Precast Delivered</v>
          </cell>
          <cell r="C891" t="str">
            <v>LF</v>
          </cell>
        </row>
        <row r="892">
          <cell r="A892">
            <v>603.8125</v>
          </cell>
          <cell r="B892" t="str">
            <v>Concrete Barrier Temporary Precast Installed</v>
          </cell>
          <cell r="C892" t="str">
            <v>LF</v>
          </cell>
        </row>
        <row r="893">
          <cell r="A893">
            <v>604.04</v>
          </cell>
          <cell r="B893" t="str">
            <v>Slope Paving Concrete</v>
          </cell>
          <cell r="C893" t="str">
            <v>SY</v>
          </cell>
        </row>
        <row r="894">
          <cell r="A894">
            <v>604.04999999999995</v>
          </cell>
          <cell r="B894" t="str">
            <v>Slope Paving Crushed Aggregate</v>
          </cell>
          <cell r="C894" t="str">
            <v>SY</v>
          </cell>
        </row>
        <row r="895">
          <cell r="A895">
            <v>604.05999999999995</v>
          </cell>
          <cell r="B895" t="str">
            <v>Slope Paving Select Crushed Material</v>
          </cell>
          <cell r="C895" t="str">
            <v>SY</v>
          </cell>
        </row>
        <row r="896">
          <cell r="A896">
            <v>605.03049999999996</v>
          </cell>
          <cell r="B896" t="str">
            <v>Ditch Checks Mortar Rubble</v>
          </cell>
          <cell r="C896" t="str">
            <v>CY</v>
          </cell>
        </row>
        <row r="897">
          <cell r="A897">
            <v>605.04049999999995</v>
          </cell>
          <cell r="B897" t="str">
            <v>Ditch Checks Concrete</v>
          </cell>
          <cell r="C897" t="str">
            <v>CY</v>
          </cell>
        </row>
        <row r="898">
          <cell r="A898">
            <v>606.01</v>
          </cell>
          <cell r="B898" t="str">
            <v>Riprap Light</v>
          </cell>
          <cell r="C898" t="str">
            <v>CY</v>
          </cell>
        </row>
        <row r="899">
          <cell r="A899">
            <v>606.02</v>
          </cell>
          <cell r="B899" t="str">
            <v>Riprap Medium</v>
          </cell>
          <cell r="C899" t="str">
            <v>CY</v>
          </cell>
        </row>
        <row r="900">
          <cell r="A900">
            <v>606.03</v>
          </cell>
          <cell r="B900" t="str">
            <v>Riprap Heavy</v>
          </cell>
          <cell r="C900" t="str">
            <v>CY</v>
          </cell>
        </row>
        <row r="901">
          <cell r="A901">
            <v>606.04</v>
          </cell>
          <cell r="B901" t="str">
            <v>Riprap Extra-Heavy</v>
          </cell>
          <cell r="C901" t="str">
            <v>CY</v>
          </cell>
        </row>
        <row r="902">
          <cell r="A902">
            <v>606.04999999999995</v>
          </cell>
          <cell r="B902" t="str">
            <v>Grouted Riprap Light</v>
          </cell>
          <cell r="C902" t="str">
            <v>CY</v>
          </cell>
        </row>
        <row r="903">
          <cell r="A903">
            <v>606.05999999999995</v>
          </cell>
          <cell r="B903" t="str">
            <v>Grouted Riprap Medium</v>
          </cell>
          <cell r="C903" t="str">
            <v>CY</v>
          </cell>
        </row>
        <row r="904">
          <cell r="A904">
            <v>606.07000000000005</v>
          </cell>
          <cell r="B904" t="str">
            <v>Grouted Riprap Heavy</v>
          </cell>
          <cell r="C904" t="str">
            <v>CY</v>
          </cell>
        </row>
        <row r="905">
          <cell r="A905">
            <v>606.08000000000004</v>
          </cell>
          <cell r="B905" t="str">
            <v>Grouted Riprap Extra-Heavy</v>
          </cell>
          <cell r="C905" t="str">
            <v>CY</v>
          </cell>
        </row>
        <row r="906">
          <cell r="A906">
            <v>607.01059999999995</v>
          </cell>
          <cell r="B906" t="str">
            <v>Storm Sewer Pipe Nonreinforced Concrete Class 1 6-Inch</v>
          </cell>
          <cell r="C906" t="str">
            <v>LF</v>
          </cell>
        </row>
        <row r="907">
          <cell r="A907">
            <v>607.01080000000002</v>
          </cell>
          <cell r="B907" t="str">
            <v>Storm Sewer Pipe Nonreinforced Concrete Class 1 8-Inch</v>
          </cell>
          <cell r="C907" t="str">
            <v>LF</v>
          </cell>
        </row>
        <row r="908">
          <cell r="A908">
            <v>607.01099999999997</v>
          </cell>
          <cell r="B908" t="str">
            <v>Storm Sewer Pipe Nonreinforced Concrete Class 1 10-Inch</v>
          </cell>
          <cell r="C908" t="str">
            <v>LF</v>
          </cell>
        </row>
        <row r="909">
          <cell r="A909">
            <v>607.01120000000003</v>
          </cell>
          <cell r="B909" t="str">
            <v>Storm Sewer Pipe Nonreinforced Concrete Class 1 12-Inch</v>
          </cell>
          <cell r="C909" t="str">
            <v>LF</v>
          </cell>
        </row>
        <row r="910">
          <cell r="A910">
            <v>607.01149999999996</v>
          </cell>
          <cell r="B910" t="str">
            <v>Storm Sewer Pipe Nonreinforced Concrete Class 1 15-Inch</v>
          </cell>
          <cell r="C910" t="str">
            <v>LF</v>
          </cell>
        </row>
        <row r="911">
          <cell r="A911">
            <v>607.01179999999999</v>
          </cell>
          <cell r="B911" t="str">
            <v>Storm Sewer Pipe Nonreinforced Concrete Class 1 18-Inch</v>
          </cell>
          <cell r="C911" t="str">
            <v>LF</v>
          </cell>
        </row>
        <row r="912">
          <cell r="A912">
            <v>607.01210000000003</v>
          </cell>
          <cell r="B912" t="str">
            <v>Storm Sewer Pipe Nonreinforced Concrete Class 1 21-Inch</v>
          </cell>
          <cell r="C912" t="str">
            <v>LF</v>
          </cell>
        </row>
        <row r="913">
          <cell r="A913">
            <v>607.01239999999996</v>
          </cell>
          <cell r="B913" t="str">
            <v>Storm Sewer Pipe Nonreinforced Concrete Class 1 24-Inch</v>
          </cell>
          <cell r="C913" t="str">
            <v>LF</v>
          </cell>
        </row>
        <row r="914">
          <cell r="A914">
            <v>607.01300000000003</v>
          </cell>
          <cell r="B914" t="str">
            <v>Storm Sewer Pipe Nonreinforced Concrete Class 1 30-Inch</v>
          </cell>
          <cell r="C914" t="str">
            <v>LF</v>
          </cell>
        </row>
        <row r="915">
          <cell r="A915">
            <v>607.0136</v>
          </cell>
          <cell r="B915" t="str">
            <v>Storm Sewer Pipe Nonreinforced Concrete Class 1 36-Inch</v>
          </cell>
          <cell r="C915" t="str">
            <v>LF</v>
          </cell>
        </row>
        <row r="916">
          <cell r="A916">
            <v>607.03060000000005</v>
          </cell>
          <cell r="B916" t="str">
            <v>Storm Sewer Pipe Nonreinforced Concrete Class 3 6-Inch</v>
          </cell>
          <cell r="C916" t="str">
            <v>LF</v>
          </cell>
        </row>
        <row r="917">
          <cell r="A917">
            <v>607.0308</v>
          </cell>
          <cell r="B917" t="str">
            <v>Storm Sewer Pipe Nonreinforced Concrete Class 3 8-Inch</v>
          </cell>
          <cell r="C917" t="str">
            <v>LF</v>
          </cell>
        </row>
        <row r="918">
          <cell r="A918">
            <v>607.03099999999995</v>
          </cell>
          <cell r="B918" t="str">
            <v>Storm Sewer Pipe Nonreinforced Concrete Class 3 10-Inch</v>
          </cell>
          <cell r="C918" t="str">
            <v>LF</v>
          </cell>
        </row>
        <row r="919">
          <cell r="A919">
            <v>607.03120000000001</v>
          </cell>
          <cell r="B919" t="str">
            <v>Storm Sewer Pipe Nonreinforced Concrete Class 3 12-Inch</v>
          </cell>
          <cell r="C919" t="str">
            <v>LF</v>
          </cell>
        </row>
        <row r="920">
          <cell r="A920">
            <v>607.03150000000005</v>
          </cell>
          <cell r="B920" t="str">
            <v>Storm Sewer Pipe Nonreinforced Concrete Class 3 15-Inch</v>
          </cell>
          <cell r="C920" t="str">
            <v>LF</v>
          </cell>
        </row>
        <row r="921">
          <cell r="A921">
            <v>607.03179999999998</v>
          </cell>
          <cell r="B921" t="str">
            <v>Storm Sewer Pipe Nonreinforced Concrete Class 3 18-Inch</v>
          </cell>
          <cell r="C921" t="str">
            <v>LF</v>
          </cell>
        </row>
        <row r="922">
          <cell r="A922">
            <v>607.03210000000001</v>
          </cell>
          <cell r="B922" t="str">
            <v>Storm Sewer Pipe Nonreinforced Concrete Class 3 21-Inch</v>
          </cell>
          <cell r="C922" t="str">
            <v>LF</v>
          </cell>
        </row>
        <row r="923">
          <cell r="A923">
            <v>607.03240000000005</v>
          </cell>
          <cell r="B923" t="str">
            <v>Storm Sewer Pipe Nonreinforced Concrete Class 3 24-Inch</v>
          </cell>
          <cell r="C923" t="str">
            <v>LF</v>
          </cell>
        </row>
        <row r="924">
          <cell r="A924">
            <v>607.03300000000002</v>
          </cell>
          <cell r="B924" t="str">
            <v>Storm Sewer Pipe Nonreinforced Concrete Class 3 30-Inch</v>
          </cell>
          <cell r="C924" t="str">
            <v>LF</v>
          </cell>
        </row>
        <row r="925">
          <cell r="A925">
            <v>607.03359999999998</v>
          </cell>
          <cell r="B925" t="str">
            <v>Storm Sewer Pipe Nonreinforced Concrete Class 3 36-Inch</v>
          </cell>
          <cell r="C925" t="str">
            <v>LF</v>
          </cell>
        </row>
        <row r="926">
          <cell r="A926">
            <v>607.04060000000004</v>
          </cell>
          <cell r="B926" t="str">
            <v>Storm Sewer Pipe Composite 6-Inch</v>
          </cell>
          <cell r="C926" t="str">
            <v>LF</v>
          </cell>
        </row>
        <row r="927">
          <cell r="A927">
            <v>607.04079999999999</v>
          </cell>
          <cell r="B927" t="str">
            <v>Storm Sewer Pipe Composite 8-Inch</v>
          </cell>
          <cell r="C927" t="str">
            <v>LF</v>
          </cell>
        </row>
        <row r="928">
          <cell r="A928">
            <v>607.04100000000005</v>
          </cell>
          <cell r="B928" t="str">
            <v>Storm Sewer Pipe Composite 10-Inch</v>
          </cell>
          <cell r="C928" t="str">
            <v>LF</v>
          </cell>
        </row>
        <row r="929">
          <cell r="A929">
            <v>607.0412</v>
          </cell>
          <cell r="B929" t="str">
            <v>Storm Sewer Pipe Composite 12-Inch</v>
          </cell>
          <cell r="C929" t="str">
            <v>LF</v>
          </cell>
        </row>
        <row r="930">
          <cell r="A930">
            <v>607.04150000000004</v>
          </cell>
          <cell r="B930" t="str">
            <v>Storm Sewer Pipe Composite 15-Inch</v>
          </cell>
          <cell r="C930" t="str">
            <v>LF</v>
          </cell>
        </row>
        <row r="931">
          <cell r="A931">
            <v>607.5</v>
          </cell>
          <cell r="B931" t="str">
            <v>Storm Sewer Rock Excavation</v>
          </cell>
          <cell r="C931" t="str">
            <v>CY</v>
          </cell>
        </row>
        <row r="932">
          <cell r="A932">
            <v>608.02120000000002</v>
          </cell>
          <cell r="B932" t="str">
            <v>Storm Sewer Pipe Reinforced Concrete Class II 12-Inch</v>
          </cell>
          <cell r="C932" t="str">
            <v>LF</v>
          </cell>
        </row>
        <row r="933">
          <cell r="A933">
            <v>608.02149999999995</v>
          </cell>
          <cell r="B933" t="str">
            <v>Storm Sewer Pipe Reinforced Concrete Class II 15-Inch</v>
          </cell>
          <cell r="C933" t="str">
            <v>LF</v>
          </cell>
        </row>
        <row r="934">
          <cell r="A934">
            <v>608.02179999999998</v>
          </cell>
          <cell r="B934" t="str">
            <v>Storm Sewer Pipe Reinforced Concrete Class II 18-Inch</v>
          </cell>
          <cell r="C934" t="str">
            <v>LF</v>
          </cell>
        </row>
        <row r="935">
          <cell r="A935">
            <v>608.02210000000002</v>
          </cell>
          <cell r="B935" t="str">
            <v>Storm Sewer Pipe Reinforced Concrete Class II 21-Inch</v>
          </cell>
          <cell r="C935" t="str">
            <v>LF</v>
          </cell>
        </row>
        <row r="936">
          <cell r="A936">
            <v>608.02239999999995</v>
          </cell>
          <cell r="B936" t="str">
            <v>Storm Sewer Pipe Reinforced Concrete Class II 24-Inch</v>
          </cell>
          <cell r="C936" t="str">
            <v>LF</v>
          </cell>
        </row>
        <row r="937">
          <cell r="A937">
            <v>608.02269999999999</v>
          </cell>
          <cell r="B937" t="str">
            <v>Storm Sewer Pipe Reinforced Concrete Class II 27-Inch</v>
          </cell>
          <cell r="C937" t="str">
            <v>LF</v>
          </cell>
        </row>
        <row r="938">
          <cell r="A938">
            <v>608.02300000000002</v>
          </cell>
          <cell r="B938" t="str">
            <v>Storm Sewer Pipe Reinforced Concrete Class II 30-Inch</v>
          </cell>
          <cell r="C938" t="str">
            <v>LF</v>
          </cell>
        </row>
        <row r="939">
          <cell r="A939">
            <v>608.02359999999999</v>
          </cell>
          <cell r="B939" t="str">
            <v>Storm Sewer Pipe Reinforced Concrete Class II 36-Inch</v>
          </cell>
          <cell r="C939" t="str">
            <v>LF</v>
          </cell>
        </row>
        <row r="940">
          <cell r="A940">
            <v>608.02419999999995</v>
          </cell>
          <cell r="B940" t="str">
            <v>Storm Sewer Pipe Reinforced Concrete Class II 42-Inch</v>
          </cell>
          <cell r="C940" t="str">
            <v>LF</v>
          </cell>
        </row>
        <row r="941">
          <cell r="A941">
            <v>608.02480000000003</v>
          </cell>
          <cell r="B941" t="str">
            <v>Storm Sewer Pipe Reinforced Concrete Class II 48-Inch</v>
          </cell>
          <cell r="C941" t="str">
            <v>LF</v>
          </cell>
        </row>
        <row r="942">
          <cell r="A942">
            <v>608.02539999999999</v>
          </cell>
          <cell r="B942" t="str">
            <v>Storm Sewer Pipe Reinforced Concrete Class II 54-Inch</v>
          </cell>
          <cell r="C942" t="str">
            <v>LF</v>
          </cell>
        </row>
        <row r="943">
          <cell r="A943">
            <v>608.02599999999995</v>
          </cell>
          <cell r="B943" t="str">
            <v>Storm Sewer Pipe Reinforced Concrete Class II 60-Inch</v>
          </cell>
          <cell r="C943" t="str">
            <v>LF</v>
          </cell>
        </row>
        <row r="944">
          <cell r="A944">
            <v>608.02660000000003</v>
          </cell>
          <cell r="B944" t="str">
            <v>Storm Sewer Pipe Reinforced Concrete Class II 66-Inch</v>
          </cell>
          <cell r="C944" t="str">
            <v>LF</v>
          </cell>
        </row>
        <row r="945">
          <cell r="A945">
            <v>608.02719999999999</v>
          </cell>
          <cell r="B945" t="str">
            <v>Storm Sewer Pipe Reinforced Concrete Class II 72-Inch</v>
          </cell>
          <cell r="C945" t="str">
            <v>LF</v>
          </cell>
        </row>
        <row r="946">
          <cell r="A946">
            <v>608.02779999999996</v>
          </cell>
          <cell r="B946" t="str">
            <v>Storm Sewer Pipe Reinforced Concrete Class II 78-Inch</v>
          </cell>
          <cell r="C946" t="str">
            <v>LF</v>
          </cell>
        </row>
        <row r="947">
          <cell r="A947">
            <v>608.02840000000003</v>
          </cell>
          <cell r="B947" t="str">
            <v>Storm Sewer Pipe Reinforced Concrete Class II 84-Inch</v>
          </cell>
          <cell r="C947" t="str">
            <v>LF</v>
          </cell>
        </row>
        <row r="948">
          <cell r="A948">
            <v>608.029</v>
          </cell>
          <cell r="B948" t="str">
            <v>Storm Sewer Pipe Reinforced Concrete Class II 90-Inch</v>
          </cell>
          <cell r="C948" t="str">
            <v>LF</v>
          </cell>
        </row>
        <row r="949">
          <cell r="A949">
            <v>608.02959999999996</v>
          </cell>
          <cell r="B949" t="str">
            <v>Storm Sewer Pipe Reinforced Concrete Class II 96-Inch</v>
          </cell>
          <cell r="C949" t="str">
            <v>LF</v>
          </cell>
        </row>
        <row r="950">
          <cell r="A950">
            <v>608.02970000000005</v>
          </cell>
          <cell r="B950" t="str">
            <v>Storm Sewer Pipe Reinforced Concrete Class II 102-Inch</v>
          </cell>
          <cell r="C950" t="str">
            <v>LF</v>
          </cell>
        </row>
        <row r="951">
          <cell r="A951">
            <v>608.02980000000002</v>
          </cell>
          <cell r="B951" t="str">
            <v>Storm Sewer Pipe Reinforced Concrete Class II 108-Inch</v>
          </cell>
          <cell r="C951" t="str">
            <v>LF</v>
          </cell>
        </row>
        <row r="952">
          <cell r="A952">
            <v>608.03120000000001</v>
          </cell>
          <cell r="B952" t="str">
            <v>Storm Sewer Pipe Reinforced Concrete Class III 12-Inch</v>
          </cell>
          <cell r="C952" t="str">
            <v>LF</v>
          </cell>
        </row>
        <row r="953">
          <cell r="A953">
            <v>608.03150000000005</v>
          </cell>
          <cell r="B953" t="str">
            <v>Storm Sewer Pipe Reinforced Concrete Class III 15-Inch</v>
          </cell>
          <cell r="C953" t="str">
            <v>LF</v>
          </cell>
        </row>
        <row r="954">
          <cell r="A954">
            <v>608.03179999999998</v>
          </cell>
          <cell r="B954" t="str">
            <v>Storm Sewer Pipe Reinforced Concrete Class III 18-Inch</v>
          </cell>
          <cell r="C954" t="str">
            <v>LF</v>
          </cell>
        </row>
        <row r="955">
          <cell r="A955">
            <v>608.03210000000001</v>
          </cell>
          <cell r="B955" t="str">
            <v>Storm Sewer Pipe Reinforced Concrete Class III 21-Inch</v>
          </cell>
          <cell r="C955" t="str">
            <v>LF</v>
          </cell>
        </row>
        <row r="956">
          <cell r="A956">
            <v>608.03240000000005</v>
          </cell>
          <cell r="B956" t="str">
            <v>Storm Sewer Pipe Reinforced Concrete Class III 24-Inch</v>
          </cell>
          <cell r="C956" t="str">
            <v>LF</v>
          </cell>
        </row>
        <row r="957">
          <cell r="A957">
            <v>608.03269999999998</v>
          </cell>
          <cell r="B957" t="str">
            <v>Storm Sewer Pipe Reinforced Concrete Class III 27-Inch</v>
          </cell>
          <cell r="C957" t="str">
            <v>LF</v>
          </cell>
        </row>
        <row r="958">
          <cell r="A958">
            <v>608.03300000000002</v>
          </cell>
          <cell r="B958" t="str">
            <v>Storm Sewer Pipe Reinforced Concrete Class III 30-Inch</v>
          </cell>
          <cell r="C958" t="str">
            <v>LF</v>
          </cell>
        </row>
        <row r="959">
          <cell r="A959">
            <v>608.03359999999998</v>
          </cell>
          <cell r="B959" t="str">
            <v>Storm Sewer Pipe Reinforced Concrete Class III 36-Inch</v>
          </cell>
          <cell r="C959" t="str">
            <v>LF</v>
          </cell>
        </row>
        <row r="960">
          <cell r="A960">
            <v>608.03420000000006</v>
          </cell>
          <cell r="B960" t="str">
            <v>Storm Sewer Pipe Reinforced Concrete Class III 42-Inch</v>
          </cell>
          <cell r="C960" t="str">
            <v>LF</v>
          </cell>
        </row>
        <row r="961">
          <cell r="A961">
            <v>608.03480000000002</v>
          </cell>
          <cell r="B961" t="str">
            <v>Storm Sewer Pipe Reinforced Concrete Class III 48-Inch</v>
          </cell>
          <cell r="C961" t="str">
            <v>LF</v>
          </cell>
        </row>
        <row r="962">
          <cell r="A962">
            <v>608.03539999999998</v>
          </cell>
          <cell r="B962" t="str">
            <v>Storm Sewer Pipe Reinforced Concrete Class III 54-Inch</v>
          </cell>
          <cell r="C962" t="str">
            <v>LF</v>
          </cell>
        </row>
        <row r="963">
          <cell r="A963">
            <v>608.03599999999994</v>
          </cell>
          <cell r="B963" t="str">
            <v>Storm Sewer Pipe Reinforced Concrete Class III 60-Inch</v>
          </cell>
          <cell r="C963" t="str">
            <v>LF</v>
          </cell>
        </row>
        <row r="964">
          <cell r="A964">
            <v>608.03660000000002</v>
          </cell>
          <cell r="B964" t="str">
            <v>Storm Sewer Pipe Reinforced Concrete Class III 66-Inch</v>
          </cell>
          <cell r="C964" t="str">
            <v>LF</v>
          </cell>
        </row>
        <row r="965">
          <cell r="A965">
            <v>608.03719999999998</v>
          </cell>
          <cell r="B965" t="str">
            <v>Storm Sewer Pipe Reinforced Concrete Class III 72-Inch</v>
          </cell>
          <cell r="C965" t="str">
            <v>LF</v>
          </cell>
        </row>
        <row r="966">
          <cell r="A966">
            <v>608.03779999999995</v>
          </cell>
          <cell r="B966" t="str">
            <v>Storm Sewer Pipe Reinforced Concrete Class III 78-Inch</v>
          </cell>
          <cell r="C966" t="str">
            <v>LF</v>
          </cell>
        </row>
        <row r="967">
          <cell r="A967">
            <v>608.03840000000002</v>
          </cell>
          <cell r="B967" t="str">
            <v>Storm Sewer Pipe Reinforced Concrete Class III 84-Inch</v>
          </cell>
          <cell r="C967" t="str">
            <v>LF</v>
          </cell>
        </row>
        <row r="968">
          <cell r="A968">
            <v>608.03899999999999</v>
          </cell>
          <cell r="B968" t="str">
            <v>Storm Sewer Pipe Reinforced Concrete Class III 90-Inch</v>
          </cell>
          <cell r="C968" t="str">
            <v>LF</v>
          </cell>
        </row>
        <row r="969">
          <cell r="A969">
            <v>608.03959999999995</v>
          </cell>
          <cell r="B969" t="str">
            <v>Storm Sewer Pipe Reinforced Concrete Class III 96-Inch</v>
          </cell>
          <cell r="C969" t="str">
            <v>LF</v>
          </cell>
        </row>
        <row r="970">
          <cell r="A970">
            <v>608.03970000000004</v>
          </cell>
          <cell r="B970" t="str">
            <v>Storm Sewer Pipe Reinforced Concrete Class III 102-Inch</v>
          </cell>
          <cell r="C970" t="str">
            <v>LF</v>
          </cell>
        </row>
        <row r="971">
          <cell r="A971">
            <v>608.03980000000001</v>
          </cell>
          <cell r="B971" t="str">
            <v>Storm Sewer Pipe Reinforced Concrete Class III 108-Inch</v>
          </cell>
          <cell r="C971" t="str">
            <v>LF</v>
          </cell>
        </row>
        <row r="972">
          <cell r="A972">
            <v>608.0412</v>
          </cell>
          <cell r="B972" t="str">
            <v>Storm Sewer Pipe Reinforced Concrete Class IV 12-Inch</v>
          </cell>
          <cell r="C972" t="str">
            <v>LF</v>
          </cell>
        </row>
        <row r="973">
          <cell r="A973">
            <v>608.04150000000004</v>
          </cell>
          <cell r="B973" t="str">
            <v>Storm Sewer Pipe Reinforced Concrete Class IV 15-Inch</v>
          </cell>
          <cell r="C973" t="str">
            <v>LF</v>
          </cell>
        </row>
        <row r="974">
          <cell r="A974">
            <v>608.04179999999997</v>
          </cell>
          <cell r="B974" t="str">
            <v>Storm Sewer Pipe Reinforced Concrete Class IV 18-Inch</v>
          </cell>
          <cell r="C974" t="str">
            <v>LF</v>
          </cell>
        </row>
        <row r="975">
          <cell r="A975">
            <v>608.0421</v>
          </cell>
          <cell r="B975" t="str">
            <v>Storm Sewer Pipe Reinforced Concrete Class IV 21-Inch</v>
          </cell>
          <cell r="C975" t="str">
            <v>LF</v>
          </cell>
        </row>
        <row r="976">
          <cell r="A976">
            <v>608.04240000000004</v>
          </cell>
          <cell r="B976" t="str">
            <v>Storm Sewer Pipe Reinforced Concrete Class IV 24-Inch</v>
          </cell>
          <cell r="C976" t="str">
            <v>LF</v>
          </cell>
        </row>
        <row r="977">
          <cell r="A977">
            <v>608.04269999999997</v>
          </cell>
          <cell r="B977" t="str">
            <v>Storm Sewer Pipe Reinforced Concrete Class IV 27-Inch</v>
          </cell>
          <cell r="C977" t="str">
            <v>LF</v>
          </cell>
        </row>
        <row r="978">
          <cell r="A978">
            <v>608.04300000000001</v>
          </cell>
          <cell r="B978" t="str">
            <v>Storm Sewer Pipe Reinforced Concrete Class IV 30-Inch</v>
          </cell>
          <cell r="C978" t="str">
            <v>LF</v>
          </cell>
        </row>
        <row r="979">
          <cell r="A979">
            <v>608.04359999999997</v>
          </cell>
          <cell r="B979" t="str">
            <v>Storm Sewer Pipe Reinforced Concrete Class IV 36-Inch</v>
          </cell>
          <cell r="C979" t="str">
            <v>LF</v>
          </cell>
        </row>
        <row r="980">
          <cell r="A980">
            <v>608.04420000000005</v>
          </cell>
          <cell r="B980" t="str">
            <v>Storm Sewer Pipe Reinforced Concrete Class IV 42-Inch</v>
          </cell>
          <cell r="C980" t="str">
            <v>LF</v>
          </cell>
        </row>
        <row r="981">
          <cell r="A981">
            <v>608.04480000000001</v>
          </cell>
          <cell r="B981" t="str">
            <v>Storm Sewer Pipe Reinforced Concrete Class IV 48-Inch</v>
          </cell>
          <cell r="C981" t="str">
            <v>LF</v>
          </cell>
        </row>
        <row r="982">
          <cell r="A982">
            <v>608.04539999999997</v>
          </cell>
          <cell r="B982" t="str">
            <v>Storm Sewer Pipe Reinforced Concrete Class IV 54-Inch</v>
          </cell>
          <cell r="C982" t="str">
            <v>LF</v>
          </cell>
        </row>
        <row r="983">
          <cell r="A983">
            <v>608.04600000000005</v>
          </cell>
          <cell r="B983" t="str">
            <v>Storm Sewer Pipe Reinforced Concrete Class IV 60-Inch</v>
          </cell>
          <cell r="C983" t="str">
            <v>LF</v>
          </cell>
        </row>
        <row r="984">
          <cell r="A984">
            <v>608.04660000000001</v>
          </cell>
          <cell r="B984" t="str">
            <v>Storm Sewer Pipe Reinforced Concrete Class IV 66-Inch</v>
          </cell>
          <cell r="C984" t="str">
            <v>LF</v>
          </cell>
        </row>
        <row r="985">
          <cell r="A985">
            <v>608.04719999999998</v>
          </cell>
          <cell r="B985" t="str">
            <v>Storm Sewer Pipe Reinforced Concrete Class IV 72-Inch</v>
          </cell>
          <cell r="C985" t="str">
            <v>LF</v>
          </cell>
        </row>
        <row r="986">
          <cell r="A986">
            <v>608.04780000000005</v>
          </cell>
          <cell r="B986" t="str">
            <v>Storm Sewer Pipe Reinforced Concrete Class IV 78-Inch</v>
          </cell>
          <cell r="C986" t="str">
            <v>LF</v>
          </cell>
        </row>
        <row r="987">
          <cell r="A987">
            <v>608.04840000000002</v>
          </cell>
          <cell r="B987" t="str">
            <v>Storm Sewer Pipe Reinforced Concrete Class IV 84-Inch</v>
          </cell>
          <cell r="C987" t="str">
            <v>LF</v>
          </cell>
        </row>
        <row r="988">
          <cell r="A988">
            <v>608.05119999999999</v>
          </cell>
          <cell r="B988" t="str">
            <v>Storm Sewer Pipe Reinforced Concrete Class V 12-Inch</v>
          </cell>
          <cell r="C988" t="str">
            <v>LF</v>
          </cell>
        </row>
        <row r="989">
          <cell r="A989">
            <v>608.05150000000003</v>
          </cell>
          <cell r="B989" t="str">
            <v>Storm Sewer Pipe Reinforced Concrete Class V 15-Inch</v>
          </cell>
          <cell r="C989" t="str">
            <v>LF</v>
          </cell>
        </row>
        <row r="990">
          <cell r="A990">
            <v>608.05179999999996</v>
          </cell>
          <cell r="B990" t="str">
            <v>Storm Sewer Pipe Reinforced Concrete Class V 18-Inch</v>
          </cell>
          <cell r="C990" t="str">
            <v>LF</v>
          </cell>
        </row>
        <row r="991">
          <cell r="A991">
            <v>608.0521</v>
          </cell>
          <cell r="B991" t="str">
            <v>Storm Sewer Pipe Reinforced Concrete Class V 21-Inch</v>
          </cell>
          <cell r="C991" t="str">
            <v>LF</v>
          </cell>
        </row>
        <row r="992">
          <cell r="A992">
            <v>608.05240000000003</v>
          </cell>
          <cell r="B992" t="str">
            <v>Storm Sewer Pipe Reinforced Concrete Class V 24-Inch</v>
          </cell>
          <cell r="C992" t="str">
            <v>LF</v>
          </cell>
        </row>
        <row r="993">
          <cell r="A993">
            <v>608.05269999999996</v>
          </cell>
          <cell r="B993" t="str">
            <v>Storm Sewer Pipe Reinforced Concrete Class V 27-Inch</v>
          </cell>
          <cell r="C993" t="str">
            <v>LF</v>
          </cell>
        </row>
        <row r="994">
          <cell r="A994">
            <v>608.053</v>
          </cell>
          <cell r="B994" t="str">
            <v>Storm Sewer Pipe Reinforced Concrete Class V 30-Inch</v>
          </cell>
          <cell r="C994" t="str">
            <v>LF</v>
          </cell>
        </row>
        <row r="995">
          <cell r="A995">
            <v>608.05359999999996</v>
          </cell>
          <cell r="B995" t="str">
            <v>Storm Sewer Pipe Reinforced Concrete Class V 36-Inch</v>
          </cell>
          <cell r="C995" t="str">
            <v>LF</v>
          </cell>
        </row>
        <row r="996">
          <cell r="A996">
            <v>608.05420000000004</v>
          </cell>
          <cell r="B996" t="str">
            <v>Storm Sewer Pipe Reinforced Concrete Class V 42-Inch</v>
          </cell>
          <cell r="C996" t="str">
            <v>LF</v>
          </cell>
        </row>
        <row r="997">
          <cell r="A997">
            <v>608.0548</v>
          </cell>
          <cell r="B997" t="str">
            <v>Storm Sewer Pipe Reinforced Concrete Class V 48-Inch</v>
          </cell>
          <cell r="C997" t="str">
            <v>LF</v>
          </cell>
        </row>
        <row r="998">
          <cell r="A998">
            <v>608.05539999999996</v>
          </cell>
          <cell r="B998" t="str">
            <v>Storm Sewer Pipe Reinforced Concrete Class V 54-Inch</v>
          </cell>
          <cell r="C998" t="str">
            <v>LF</v>
          </cell>
        </row>
        <row r="999">
          <cell r="A999">
            <v>608.05600000000004</v>
          </cell>
          <cell r="B999" t="str">
            <v>Storm Sewer Pipe Reinforced Concrete Class V 60-Inch</v>
          </cell>
          <cell r="C999" t="str">
            <v>LF</v>
          </cell>
        </row>
        <row r="1000">
          <cell r="A1000">
            <v>608.0566</v>
          </cell>
          <cell r="B1000" t="str">
            <v>Storm Sewer Pipe Reinforced Concrete Class V 66-Inch</v>
          </cell>
          <cell r="C1000" t="str">
            <v>LF</v>
          </cell>
        </row>
        <row r="1001">
          <cell r="A1001">
            <v>608.05719999999997</v>
          </cell>
          <cell r="B1001" t="str">
            <v>Storm Sewer Pipe Reinforced Concrete Class V 72-Inch</v>
          </cell>
          <cell r="C1001" t="str">
            <v>LF</v>
          </cell>
        </row>
        <row r="1002">
          <cell r="A1002">
            <v>609.01059999999995</v>
          </cell>
          <cell r="B1002" t="str">
            <v>Relaid Storm Sewer 6-Inch</v>
          </cell>
          <cell r="C1002" t="str">
            <v>LF</v>
          </cell>
        </row>
        <row r="1003">
          <cell r="A1003">
            <v>609.01080000000002</v>
          </cell>
          <cell r="B1003" t="str">
            <v>Relaid Storm Sewer 8-Inch</v>
          </cell>
          <cell r="C1003" t="str">
            <v>LF</v>
          </cell>
        </row>
        <row r="1004">
          <cell r="A1004">
            <v>609.01099999999997</v>
          </cell>
          <cell r="B1004" t="str">
            <v>Relaid Storm Sewer 10-Inch</v>
          </cell>
          <cell r="C1004" t="str">
            <v>LF</v>
          </cell>
        </row>
        <row r="1005">
          <cell r="A1005">
            <v>609.01120000000003</v>
          </cell>
          <cell r="B1005" t="str">
            <v>Relaid Storm Sewer 12-Inch</v>
          </cell>
          <cell r="C1005" t="str">
            <v>LF</v>
          </cell>
        </row>
        <row r="1006">
          <cell r="A1006">
            <v>609.01149999999996</v>
          </cell>
          <cell r="B1006" t="str">
            <v>Relaid Storm Sewer 15-Inch</v>
          </cell>
          <cell r="C1006" t="str">
            <v>LF</v>
          </cell>
        </row>
        <row r="1007">
          <cell r="A1007">
            <v>609.01179999999999</v>
          </cell>
          <cell r="B1007" t="str">
            <v>Relaid Storm Sewer 18-Inch</v>
          </cell>
          <cell r="C1007" t="str">
            <v>LF</v>
          </cell>
        </row>
        <row r="1008">
          <cell r="A1008">
            <v>609.01210000000003</v>
          </cell>
          <cell r="B1008" t="str">
            <v>Relaid Storm Sewer 21-Inch</v>
          </cell>
          <cell r="C1008" t="str">
            <v>LF</v>
          </cell>
        </row>
        <row r="1009">
          <cell r="A1009">
            <v>609.01239999999996</v>
          </cell>
          <cell r="B1009" t="str">
            <v>Relaid Storm Sewer 24-Inch</v>
          </cell>
          <cell r="C1009" t="str">
            <v>LF</v>
          </cell>
        </row>
        <row r="1010">
          <cell r="A1010">
            <v>609.0127</v>
          </cell>
          <cell r="B1010" t="str">
            <v>Relaid Storm Sewer 27-Inch</v>
          </cell>
          <cell r="C1010" t="str">
            <v>LF</v>
          </cell>
        </row>
        <row r="1011">
          <cell r="A1011">
            <v>609.01300000000003</v>
          </cell>
          <cell r="B1011" t="str">
            <v>Relaid Storm Sewer 30-Inch</v>
          </cell>
          <cell r="C1011" t="str">
            <v>LF</v>
          </cell>
        </row>
        <row r="1012">
          <cell r="A1012">
            <v>609.0136</v>
          </cell>
          <cell r="B1012" t="str">
            <v>Relaid Storm Sewer 36-Inch</v>
          </cell>
          <cell r="C1012" t="str">
            <v>LF</v>
          </cell>
        </row>
        <row r="1013">
          <cell r="A1013">
            <v>609.01419999999996</v>
          </cell>
          <cell r="B1013" t="str">
            <v>Relaid Storm Sewer 42-Inch</v>
          </cell>
          <cell r="C1013" t="str">
            <v>LF</v>
          </cell>
        </row>
        <row r="1014">
          <cell r="A1014">
            <v>609.01480000000004</v>
          </cell>
          <cell r="B1014" t="str">
            <v>Relaid Storm Sewer 48-Inch</v>
          </cell>
          <cell r="C1014" t="str">
            <v>LF</v>
          </cell>
        </row>
        <row r="1015">
          <cell r="A1015">
            <v>609.0154</v>
          </cell>
          <cell r="B1015" t="str">
            <v>Relaid Storm Sewer 54-Inch</v>
          </cell>
          <cell r="C1015" t="str">
            <v>LF</v>
          </cell>
        </row>
        <row r="1016">
          <cell r="A1016">
            <v>609.01599999999996</v>
          </cell>
          <cell r="B1016" t="str">
            <v>Relaid Storm Sewer 60-Inch</v>
          </cell>
          <cell r="C1016" t="str">
            <v>LF</v>
          </cell>
        </row>
        <row r="1017">
          <cell r="A1017">
            <v>609.01660000000004</v>
          </cell>
          <cell r="B1017" t="str">
            <v>Relaid Storm Sewer 66-Inch</v>
          </cell>
          <cell r="C1017" t="str">
            <v>LF</v>
          </cell>
        </row>
        <row r="1018">
          <cell r="A1018">
            <v>609.0172</v>
          </cell>
          <cell r="B1018" t="str">
            <v>Relaid Storm Sewer 72-Inch</v>
          </cell>
          <cell r="C1018" t="str">
            <v>LF</v>
          </cell>
        </row>
        <row r="1019">
          <cell r="A1019">
            <v>609.01779999999997</v>
          </cell>
          <cell r="B1019" t="str">
            <v>Relaid Storm Sewer 78-Inch</v>
          </cell>
          <cell r="C1019" t="str">
            <v>LF</v>
          </cell>
        </row>
        <row r="1020">
          <cell r="A1020">
            <v>609.01840000000004</v>
          </cell>
          <cell r="B1020" t="str">
            <v>Relaid Storm Sewer 84-Inch</v>
          </cell>
          <cell r="C1020" t="str">
            <v>LF</v>
          </cell>
        </row>
        <row r="1021">
          <cell r="A1021">
            <v>609.01900000000001</v>
          </cell>
          <cell r="B1021" t="str">
            <v>Relaid Storm Sewer 90-Inch</v>
          </cell>
          <cell r="C1021" t="str">
            <v>LF</v>
          </cell>
        </row>
        <row r="1022">
          <cell r="A1022">
            <v>609.01959999999997</v>
          </cell>
          <cell r="B1022" t="str">
            <v>Relaid Storm Sewer 96-Inch</v>
          </cell>
          <cell r="C1022" t="str">
            <v>LF</v>
          </cell>
        </row>
        <row r="1023">
          <cell r="A1023">
            <v>610.01139999999998</v>
          </cell>
          <cell r="B1023" t="str">
            <v>Storm Sewer Pipe Reinforced Concrete Horizontal Elliptical Class HE-III 14x23-Inch</v>
          </cell>
          <cell r="C1023" t="str">
            <v>LF</v>
          </cell>
        </row>
        <row r="1024">
          <cell r="A1024">
            <v>610.01189999999997</v>
          </cell>
          <cell r="B1024" t="str">
            <v>Storm Sewer Pipe Reinforced Concrete Horizontal Elliptical Class HE-III 19x30-Inch</v>
          </cell>
          <cell r="C1024" t="str">
            <v>LF</v>
          </cell>
        </row>
        <row r="1025">
          <cell r="A1025">
            <v>610.01239999999996</v>
          </cell>
          <cell r="B1025" t="str">
            <v>Storm Sewer Pipe Reinforced Concrete Horizontal Elliptical Class HE-III 24x38-Inch</v>
          </cell>
          <cell r="C1025" t="str">
            <v>LF</v>
          </cell>
        </row>
        <row r="1026">
          <cell r="A1026">
            <v>610.01289999999995</v>
          </cell>
          <cell r="B1026" t="str">
            <v>Storm Sewer Pipe Reinforced Concrete Horizontal Elliptical Class HE-III 29x45-Inch</v>
          </cell>
          <cell r="C1026" t="str">
            <v>LF</v>
          </cell>
        </row>
        <row r="1027">
          <cell r="A1027">
            <v>610.01340000000005</v>
          </cell>
          <cell r="B1027" t="str">
            <v>Storm Sewer Pipe Reinforced Concrete Horizontal Elliptical Class HE-III 34x53-Inch</v>
          </cell>
          <cell r="C1027" t="str">
            <v>LF</v>
          </cell>
        </row>
        <row r="1028">
          <cell r="A1028">
            <v>610.01379999999995</v>
          </cell>
          <cell r="B1028" t="str">
            <v>Storm Sewer Pipe Reinforced Concrete Horizontal Elliptical Class HE-III 38x60-Inch</v>
          </cell>
          <cell r="C1028" t="str">
            <v>LF</v>
          </cell>
        </row>
        <row r="1029">
          <cell r="A1029">
            <v>610.01430000000005</v>
          </cell>
          <cell r="B1029" t="str">
            <v>Storm Sewer Pipe Reinforced Concrete Horizontal Elliptical Class HE-III 43x68-Inch</v>
          </cell>
          <cell r="C1029" t="str">
            <v>LF</v>
          </cell>
        </row>
        <row r="1030">
          <cell r="A1030">
            <v>610.01480000000004</v>
          </cell>
          <cell r="B1030" t="str">
            <v>Storm Sewer Pipe Reinforced Concrete Horizontal Elliptical Class HE-III 48x76-Inch</v>
          </cell>
          <cell r="C1030" t="str">
            <v>LF</v>
          </cell>
        </row>
        <row r="1031">
          <cell r="A1031">
            <v>610.01530000000002</v>
          </cell>
          <cell r="B1031" t="str">
            <v>Storm Sewer Pipe Reinforced Concrete Horizontal Elliptical Class HE-III 53x83-Inch</v>
          </cell>
          <cell r="C1031" t="str">
            <v>LF</v>
          </cell>
        </row>
        <row r="1032">
          <cell r="A1032">
            <v>610.01580000000001</v>
          </cell>
          <cell r="B1032" t="str">
            <v>Storm Sewer Pipe Reinforced Concrete Horizontal Elliptical Class HE-III 58x91-Inch</v>
          </cell>
          <cell r="C1032" t="str">
            <v>LF</v>
          </cell>
        </row>
        <row r="1033">
          <cell r="A1033">
            <v>610.0163</v>
          </cell>
          <cell r="B1033" t="str">
            <v>Storm Sewer Pipe Reinforced Concrete Horizontal Elliptical Class HE-III 63x98-Inch</v>
          </cell>
          <cell r="C1033" t="str">
            <v>LF</v>
          </cell>
        </row>
        <row r="1034">
          <cell r="A1034">
            <v>610.01679999999999</v>
          </cell>
          <cell r="B1034" t="str">
            <v>Storm Sewer Pipe Reinforced Concrete Horizontal Elliptical Class HE-III 68x106-Inch</v>
          </cell>
          <cell r="C1034" t="str">
            <v>LF</v>
          </cell>
        </row>
        <row r="1035">
          <cell r="A1035">
            <v>610.04139999999995</v>
          </cell>
          <cell r="B1035" t="str">
            <v>Storm Sewer Pipe Reinforced Concrete Horizontal Elliptical Class HE-IV 14x23-Inch</v>
          </cell>
          <cell r="C1035" t="str">
            <v>LF</v>
          </cell>
        </row>
        <row r="1036">
          <cell r="A1036">
            <v>610.04190000000006</v>
          </cell>
          <cell r="B1036" t="str">
            <v>Storm Sewer Pipe Reinforced Concrete Horizontal Elliptical Class HE-IV 19x30-Inch</v>
          </cell>
          <cell r="C1036" t="str">
            <v>LF</v>
          </cell>
        </row>
        <row r="1037">
          <cell r="A1037">
            <v>610.04240000000004</v>
          </cell>
          <cell r="B1037" t="str">
            <v>Storm Sewer Pipe Reinforced Concrete Horizontal Elliptical Class HE-IV 24x38-Inch</v>
          </cell>
          <cell r="C1037" t="str">
            <v>LF</v>
          </cell>
        </row>
        <row r="1038">
          <cell r="A1038">
            <v>610.04290000000003</v>
          </cell>
          <cell r="B1038" t="str">
            <v>Storm Sewer Pipe Reinforced Concrete Horizontal Elliptical Class HE-IV 29x45-Inch</v>
          </cell>
          <cell r="C1038" t="str">
            <v>LF</v>
          </cell>
        </row>
        <row r="1039">
          <cell r="A1039">
            <v>610.04340000000002</v>
          </cell>
          <cell r="B1039" t="str">
            <v>Storm Sewer Pipe Reinforced Concrete Horizontal Elliptical Class HE-IV 34x53-Inch</v>
          </cell>
          <cell r="C1039" t="str">
            <v>LF</v>
          </cell>
        </row>
        <row r="1040">
          <cell r="A1040">
            <v>611.01009999999997</v>
          </cell>
          <cell r="B1040" t="str">
            <v>Catch Basins Type 1</v>
          </cell>
          <cell r="C1040" t="str">
            <v>EACH</v>
          </cell>
        </row>
        <row r="1041">
          <cell r="A1041">
            <v>611.01030000000003</v>
          </cell>
          <cell r="B1041" t="str">
            <v>Catch Basins Type 2</v>
          </cell>
          <cell r="C1041" t="str">
            <v>EACH</v>
          </cell>
        </row>
        <row r="1042">
          <cell r="A1042">
            <v>611.01049999999998</v>
          </cell>
          <cell r="B1042" t="str">
            <v>Catch Basins Type 3</v>
          </cell>
          <cell r="C1042" t="str">
            <v>EACH</v>
          </cell>
        </row>
        <row r="1043">
          <cell r="A1043">
            <v>611.01070000000004</v>
          </cell>
          <cell r="B1043" t="str">
            <v>Catch Basins Type 5</v>
          </cell>
          <cell r="C1043" t="str">
            <v>EACH</v>
          </cell>
        </row>
        <row r="1044">
          <cell r="A1044">
            <v>611.02009999999996</v>
          </cell>
          <cell r="B1044" t="str">
            <v>Manholes Type 1</v>
          </cell>
          <cell r="C1044" t="str">
            <v>EACH</v>
          </cell>
        </row>
        <row r="1045">
          <cell r="A1045">
            <v>611.02020000000005</v>
          </cell>
          <cell r="B1045" t="str">
            <v>Manholes Type 1-Communications</v>
          </cell>
          <cell r="C1045" t="str">
            <v>EACH</v>
          </cell>
        </row>
        <row r="1046">
          <cell r="A1046">
            <v>611.02049999999997</v>
          </cell>
          <cell r="B1046" t="str">
            <v>Manholes Type 2</v>
          </cell>
          <cell r="C1046" t="str">
            <v>EACH</v>
          </cell>
        </row>
        <row r="1047">
          <cell r="A1047">
            <v>611.02099999999996</v>
          </cell>
          <cell r="B1047" t="str">
            <v>Manholes Type 3</v>
          </cell>
          <cell r="C1047" t="str">
            <v>EACH</v>
          </cell>
        </row>
        <row r="1048">
          <cell r="A1048">
            <v>611.02149999999995</v>
          </cell>
          <cell r="B1048" t="str">
            <v>Manholes Type 5</v>
          </cell>
          <cell r="C1048" t="str">
            <v>EACH</v>
          </cell>
        </row>
        <row r="1049">
          <cell r="A1049">
            <v>611.02200000000005</v>
          </cell>
          <cell r="B1049" t="str">
            <v>Manholes Type 6</v>
          </cell>
          <cell r="C1049" t="str">
            <v>EACH</v>
          </cell>
        </row>
        <row r="1050">
          <cell r="A1050">
            <v>611.02250000000004</v>
          </cell>
          <cell r="B1050" t="str">
            <v>Manholes Type 11</v>
          </cell>
          <cell r="C1050" t="str">
            <v>EACH</v>
          </cell>
        </row>
        <row r="1051">
          <cell r="A1051">
            <v>611.02300000000002</v>
          </cell>
          <cell r="B1051" t="str">
            <v>Manholes Type 12</v>
          </cell>
          <cell r="C1051" t="str">
            <v>EACH</v>
          </cell>
        </row>
        <row r="1052">
          <cell r="A1052">
            <v>611.02350000000001</v>
          </cell>
          <cell r="B1052" t="str">
            <v>Manholes Type 13</v>
          </cell>
          <cell r="C1052" t="str">
            <v>EACH</v>
          </cell>
        </row>
        <row r="1053">
          <cell r="A1053">
            <v>611.024</v>
          </cell>
          <cell r="B1053" t="str">
            <v>Manholes Type 14</v>
          </cell>
          <cell r="C1053" t="str">
            <v>EACH</v>
          </cell>
        </row>
        <row r="1054">
          <cell r="A1054">
            <v>611.03009999999995</v>
          </cell>
          <cell r="B1054" t="str">
            <v>Inlets Type 1</v>
          </cell>
          <cell r="C1054" t="str">
            <v>EACH</v>
          </cell>
        </row>
        <row r="1055">
          <cell r="A1055">
            <v>611.03020000000004</v>
          </cell>
          <cell r="B1055" t="str">
            <v>Inlets Type 2</v>
          </cell>
          <cell r="C1055" t="str">
            <v>EACH</v>
          </cell>
        </row>
        <row r="1056">
          <cell r="A1056">
            <v>611.03030000000001</v>
          </cell>
          <cell r="B1056" t="str">
            <v>Inlets Type 3</v>
          </cell>
          <cell r="C1056" t="str">
            <v>EACH</v>
          </cell>
        </row>
        <row r="1057">
          <cell r="A1057">
            <v>611.03039999999999</v>
          </cell>
          <cell r="B1057" t="str">
            <v>Inlets Type 4</v>
          </cell>
          <cell r="C1057" t="str">
            <v>EACH</v>
          </cell>
        </row>
        <row r="1058">
          <cell r="A1058">
            <v>611.03049999999996</v>
          </cell>
          <cell r="B1058" t="str">
            <v>Inlets Type 8</v>
          </cell>
          <cell r="C1058" t="str">
            <v>EACH</v>
          </cell>
        </row>
        <row r="1059">
          <cell r="A1059">
            <v>611.03070000000002</v>
          </cell>
          <cell r="B1059" t="str">
            <v>Inlets Type 9</v>
          </cell>
          <cell r="C1059" t="str">
            <v>EACH</v>
          </cell>
        </row>
        <row r="1060">
          <cell r="A1060">
            <v>611.03089999999997</v>
          </cell>
          <cell r="B1060" t="str">
            <v>Inlets Type 10</v>
          </cell>
          <cell r="C1060" t="str">
            <v>EACH</v>
          </cell>
        </row>
        <row r="1061">
          <cell r="A1061">
            <v>611.03110000000004</v>
          </cell>
          <cell r="B1061" t="str">
            <v>Inlets Type 11</v>
          </cell>
          <cell r="C1061" t="str">
            <v>EACH</v>
          </cell>
        </row>
        <row r="1062">
          <cell r="A1062">
            <v>611.04100000000005</v>
          </cell>
          <cell r="B1062" t="str">
            <v>Reconstructing Catch Basins</v>
          </cell>
          <cell r="C1062" t="str">
            <v>EACH</v>
          </cell>
        </row>
        <row r="1063">
          <cell r="A1063">
            <v>611.04200000000003</v>
          </cell>
          <cell r="B1063" t="str">
            <v>Reconstructing Manholes</v>
          </cell>
          <cell r="C1063" t="str">
            <v>EACH</v>
          </cell>
        </row>
        <row r="1064">
          <cell r="A1064">
            <v>611.04300000000001</v>
          </cell>
          <cell r="B1064" t="str">
            <v>Reconstructing Inlets</v>
          </cell>
          <cell r="C1064" t="str">
            <v>EACH</v>
          </cell>
        </row>
        <row r="1065">
          <cell r="A1065">
            <v>611.05259999999998</v>
          </cell>
          <cell r="B1065" t="str">
            <v>Manhole Covers Type J Hinged</v>
          </cell>
          <cell r="C1065" t="str">
            <v>EACH</v>
          </cell>
        </row>
        <row r="1066">
          <cell r="A1066">
            <v>611.05280000000005</v>
          </cell>
          <cell r="B1066" t="str">
            <v>Manhole Covers Type J Hinged-Special</v>
          </cell>
          <cell r="C1066" t="str">
            <v>EACH</v>
          </cell>
        </row>
        <row r="1067">
          <cell r="A1067">
            <v>611.053</v>
          </cell>
          <cell r="B1067" t="str">
            <v>Manhole Covers Type J</v>
          </cell>
          <cell r="C1067" t="str">
            <v>EACH</v>
          </cell>
        </row>
        <row r="1068">
          <cell r="A1068">
            <v>611.05349999999999</v>
          </cell>
          <cell r="B1068" t="str">
            <v>Manhole Covers Type J-Special</v>
          </cell>
          <cell r="C1068" t="str">
            <v>EACH</v>
          </cell>
        </row>
        <row r="1069">
          <cell r="A1069">
            <v>611.05399999999997</v>
          </cell>
          <cell r="B1069" t="str">
            <v>Manhole Covers Type K</v>
          </cell>
          <cell r="C1069" t="str">
            <v>EACH</v>
          </cell>
        </row>
        <row r="1070">
          <cell r="A1070">
            <v>611.05449999999996</v>
          </cell>
          <cell r="B1070" t="str">
            <v>Manhole Covers Type L</v>
          </cell>
          <cell r="C1070" t="str">
            <v>EACH</v>
          </cell>
        </row>
        <row r="1071">
          <cell r="A1071">
            <v>611.05499999999995</v>
          </cell>
          <cell r="B1071" t="str">
            <v>Manhole Covers Type M</v>
          </cell>
          <cell r="C1071" t="str">
            <v>EACH</v>
          </cell>
        </row>
        <row r="1072">
          <cell r="A1072">
            <v>611.05520000000001</v>
          </cell>
          <cell r="B1072" t="str">
            <v>Manhole Covers Type M-Communications</v>
          </cell>
          <cell r="C1072" t="str">
            <v>EACH</v>
          </cell>
        </row>
        <row r="1073">
          <cell r="A1073">
            <v>611.05550000000005</v>
          </cell>
          <cell r="B1073" t="str">
            <v>Manhole Covers Type Q</v>
          </cell>
          <cell r="C1073" t="str">
            <v>EACH</v>
          </cell>
        </row>
        <row r="1074">
          <cell r="A1074">
            <v>611.0557</v>
          </cell>
          <cell r="B1074" t="str">
            <v>Manhole Covers Type Q-Communications</v>
          </cell>
          <cell r="C1074" t="str">
            <v>EACH</v>
          </cell>
        </row>
        <row r="1075">
          <cell r="A1075">
            <v>611.05999999999995</v>
          </cell>
          <cell r="B1075" t="str">
            <v>Inlet Covers Type A</v>
          </cell>
          <cell r="C1075" t="str">
            <v>EACH</v>
          </cell>
        </row>
        <row r="1076">
          <cell r="A1076">
            <v>611.06029999999998</v>
          </cell>
          <cell r="B1076" t="str">
            <v>Inlet Covers Type A-S</v>
          </cell>
          <cell r="C1076" t="str">
            <v>EACH</v>
          </cell>
        </row>
        <row r="1077">
          <cell r="A1077">
            <v>611.06060000000002</v>
          </cell>
          <cell r="B1077" t="str">
            <v>Inlet Covers Type B</v>
          </cell>
          <cell r="C1077" t="str">
            <v>EACH</v>
          </cell>
        </row>
        <row r="1078">
          <cell r="A1078">
            <v>611.06089999999995</v>
          </cell>
          <cell r="B1078" t="str">
            <v>Inlet Covers Type B-A</v>
          </cell>
          <cell r="C1078" t="str">
            <v>EACH</v>
          </cell>
        </row>
        <row r="1079">
          <cell r="A1079">
            <v>611.06119999999999</v>
          </cell>
          <cell r="B1079" t="str">
            <v>Inlet Covers Type C</v>
          </cell>
          <cell r="C1079" t="str">
            <v>EACH</v>
          </cell>
        </row>
        <row r="1080">
          <cell r="A1080">
            <v>611.06150000000002</v>
          </cell>
          <cell r="B1080" t="str">
            <v>Inlet Covers Type F</v>
          </cell>
          <cell r="C1080" t="str">
            <v>EACH</v>
          </cell>
        </row>
        <row r="1081">
          <cell r="A1081">
            <v>611.06240000000003</v>
          </cell>
          <cell r="B1081" t="str">
            <v>Inlet Covers Type H</v>
          </cell>
          <cell r="C1081" t="str">
            <v>EACH</v>
          </cell>
        </row>
        <row r="1082">
          <cell r="A1082">
            <v>611.06269999999995</v>
          </cell>
          <cell r="B1082" t="str">
            <v>Inlet Covers Type HM</v>
          </cell>
          <cell r="C1082" t="str">
            <v>EACH</v>
          </cell>
        </row>
        <row r="1083">
          <cell r="A1083">
            <v>611.06299999999999</v>
          </cell>
          <cell r="B1083" t="str">
            <v>Inlet Covers Type HM-GJ</v>
          </cell>
          <cell r="C1083" t="str">
            <v>EACH</v>
          </cell>
        </row>
        <row r="1084">
          <cell r="A1084">
            <v>611.06330000000003</v>
          </cell>
          <cell r="B1084" t="str">
            <v>Inlet Covers Type HM-GJ-S</v>
          </cell>
          <cell r="C1084" t="str">
            <v>EACH</v>
          </cell>
        </row>
        <row r="1085">
          <cell r="A1085">
            <v>611.06359999999995</v>
          </cell>
          <cell r="B1085" t="str">
            <v>Inlet Covers Type HM-S</v>
          </cell>
          <cell r="C1085" t="str">
            <v>EACH</v>
          </cell>
        </row>
        <row r="1086">
          <cell r="A1086">
            <v>611.06389999999999</v>
          </cell>
          <cell r="B1086" t="str">
            <v>Inlet Covers Type H-S</v>
          </cell>
          <cell r="C1086" t="str">
            <v>EACH</v>
          </cell>
        </row>
        <row r="1087">
          <cell r="A1087">
            <v>611.06420000000003</v>
          </cell>
          <cell r="B1087" t="str">
            <v>Inlet Covers Type MS</v>
          </cell>
          <cell r="C1087" t="str">
            <v>EACH</v>
          </cell>
        </row>
        <row r="1088">
          <cell r="A1088">
            <v>611.06449999999995</v>
          </cell>
          <cell r="B1088" t="str">
            <v>Inlet Covers Type MS-A</v>
          </cell>
          <cell r="C1088" t="str">
            <v>EACH</v>
          </cell>
        </row>
        <row r="1089">
          <cell r="A1089">
            <v>611.06479999999999</v>
          </cell>
          <cell r="B1089" t="str">
            <v>Inlet Covers Type R</v>
          </cell>
          <cell r="C1089" t="str">
            <v>EACH</v>
          </cell>
        </row>
        <row r="1090">
          <cell r="A1090">
            <v>611.06510000000003</v>
          </cell>
          <cell r="B1090" t="str">
            <v>Inlet Covers Type S</v>
          </cell>
          <cell r="C1090" t="str">
            <v>EACH</v>
          </cell>
        </row>
        <row r="1091">
          <cell r="A1091">
            <v>611.0652</v>
          </cell>
          <cell r="B1091" t="str">
            <v>Inlet Covers Type T</v>
          </cell>
          <cell r="C1091" t="str">
            <v>EACH</v>
          </cell>
        </row>
        <row r="1092">
          <cell r="A1092">
            <v>611.06539999999995</v>
          </cell>
          <cell r="B1092" t="str">
            <v>Inlet Covers Type V</v>
          </cell>
          <cell r="C1092" t="str">
            <v>EACH</v>
          </cell>
        </row>
        <row r="1093">
          <cell r="A1093">
            <v>611.06569999999999</v>
          </cell>
          <cell r="B1093" t="str">
            <v>Inlet Covers Type W</v>
          </cell>
          <cell r="C1093" t="str">
            <v>EACH</v>
          </cell>
        </row>
        <row r="1094">
          <cell r="A1094">
            <v>611.06600000000003</v>
          </cell>
          <cell r="B1094" t="str">
            <v>Inlet Covers Type WM</v>
          </cell>
          <cell r="C1094" t="str">
            <v>EACH</v>
          </cell>
        </row>
        <row r="1095">
          <cell r="A1095">
            <v>611.06629999999996</v>
          </cell>
          <cell r="B1095" t="str">
            <v>Inlet Covers Type X</v>
          </cell>
          <cell r="C1095" t="str">
            <v>EACH</v>
          </cell>
        </row>
        <row r="1096">
          <cell r="A1096">
            <v>611.06659999999999</v>
          </cell>
          <cell r="B1096" t="str">
            <v>Inlet Covers Type Z</v>
          </cell>
          <cell r="C1096" t="str">
            <v>EACH</v>
          </cell>
        </row>
        <row r="1097">
          <cell r="A1097">
            <v>611.81050000000005</v>
          </cell>
          <cell r="B1097" t="str">
            <v>Adjusting Catch Basin Covers</v>
          </cell>
          <cell r="C1097" t="str">
            <v>EACH</v>
          </cell>
        </row>
        <row r="1098">
          <cell r="A1098">
            <v>611.81100000000004</v>
          </cell>
          <cell r="B1098" t="str">
            <v>Adjusting Manhole Covers</v>
          </cell>
          <cell r="C1098" t="str">
            <v>EACH</v>
          </cell>
        </row>
        <row r="1099">
          <cell r="A1099">
            <v>611.81150000000002</v>
          </cell>
          <cell r="B1099" t="str">
            <v>Adjusting Inlet Covers</v>
          </cell>
          <cell r="C1099" t="str">
            <v>EACH</v>
          </cell>
        </row>
        <row r="1100">
          <cell r="A1100">
            <v>611.97050000000002</v>
          </cell>
          <cell r="B1100" t="str">
            <v>Salvaged Manhole Covers</v>
          </cell>
          <cell r="C1100" t="str">
            <v>EACH</v>
          </cell>
        </row>
        <row r="1101">
          <cell r="A1101">
            <v>611.971</v>
          </cell>
          <cell r="B1101" t="str">
            <v>Salvaged Inlet Covers</v>
          </cell>
          <cell r="C1101" t="str">
            <v>EACH</v>
          </cell>
        </row>
        <row r="1102">
          <cell r="A1102">
            <v>612.0104</v>
          </cell>
          <cell r="B1102" t="str">
            <v>Pipe Underdrain 4-Inch</v>
          </cell>
          <cell r="C1102" t="str">
            <v>LF</v>
          </cell>
        </row>
        <row r="1103">
          <cell r="A1103">
            <v>612.01059999999995</v>
          </cell>
          <cell r="B1103" t="str">
            <v>Pipe Underdrain 6-Inch</v>
          </cell>
          <cell r="C1103" t="str">
            <v>LF</v>
          </cell>
        </row>
        <row r="1104">
          <cell r="A1104">
            <v>612.01080000000002</v>
          </cell>
          <cell r="B1104" t="str">
            <v>Pipe Underdrain 8-Inch</v>
          </cell>
          <cell r="C1104" t="str">
            <v>LF</v>
          </cell>
        </row>
        <row r="1105">
          <cell r="A1105">
            <v>612.01099999999997</v>
          </cell>
          <cell r="B1105" t="str">
            <v>Pipe Underdrain 10-Inch</v>
          </cell>
          <cell r="C1105" t="str">
            <v>LF</v>
          </cell>
        </row>
        <row r="1106">
          <cell r="A1106">
            <v>612.01120000000003</v>
          </cell>
          <cell r="B1106" t="str">
            <v>Pipe Underdrain 12-Inch</v>
          </cell>
          <cell r="C1106" t="str">
            <v>LF</v>
          </cell>
        </row>
        <row r="1107">
          <cell r="A1107">
            <v>612.01149999999996</v>
          </cell>
          <cell r="B1107" t="str">
            <v>Pipe Underdrain 15-Inch</v>
          </cell>
          <cell r="C1107" t="str">
            <v>LF</v>
          </cell>
        </row>
        <row r="1108">
          <cell r="A1108">
            <v>612.01179999999999</v>
          </cell>
          <cell r="B1108" t="str">
            <v>Pipe Underdrain 18-Inch</v>
          </cell>
          <cell r="C1108" t="str">
            <v>LF</v>
          </cell>
        </row>
        <row r="1109">
          <cell r="A1109">
            <v>612.01210000000003</v>
          </cell>
          <cell r="B1109" t="str">
            <v>Pipe Underdrain 21-Inch</v>
          </cell>
          <cell r="C1109" t="str">
            <v>LF</v>
          </cell>
        </row>
        <row r="1110">
          <cell r="A1110">
            <v>612.0204</v>
          </cell>
          <cell r="B1110" t="str">
            <v>Pipe Underdrain Unperforated 4-Inch</v>
          </cell>
          <cell r="C1110" t="str">
            <v>LF</v>
          </cell>
        </row>
        <row r="1111">
          <cell r="A1111">
            <v>612.02059999999994</v>
          </cell>
          <cell r="B1111" t="str">
            <v>Pipe Underdrain Unperforated 6-Inch</v>
          </cell>
          <cell r="C1111" t="str">
            <v>LF</v>
          </cell>
        </row>
        <row r="1112">
          <cell r="A1112">
            <v>612.02080000000001</v>
          </cell>
          <cell r="B1112" t="str">
            <v>Pipe Underdrain Unperforated 8-Inch</v>
          </cell>
          <cell r="C1112" t="str">
            <v>LF</v>
          </cell>
        </row>
        <row r="1113">
          <cell r="A1113">
            <v>612.02099999999996</v>
          </cell>
          <cell r="B1113" t="str">
            <v>Pipe Underdrain Unperforated 10-Inch</v>
          </cell>
          <cell r="C1113" t="str">
            <v>LF</v>
          </cell>
        </row>
        <row r="1114">
          <cell r="A1114">
            <v>612.02120000000002</v>
          </cell>
          <cell r="B1114" t="str">
            <v>Pipe Underdrain Unperforated 12-Inch</v>
          </cell>
          <cell r="C1114" t="str">
            <v>LF</v>
          </cell>
        </row>
        <row r="1115">
          <cell r="A1115">
            <v>612.02149999999995</v>
          </cell>
          <cell r="B1115" t="str">
            <v>Pipe Underdrain Unperforated 15-Inch</v>
          </cell>
          <cell r="C1115" t="str">
            <v>LF</v>
          </cell>
        </row>
        <row r="1116">
          <cell r="A1116">
            <v>612.02179999999998</v>
          </cell>
          <cell r="B1116" t="str">
            <v>Pipe Underdrain Unperforated 18-Inch</v>
          </cell>
          <cell r="C1116" t="str">
            <v>LF</v>
          </cell>
        </row>
        <row r="1117">
          <cell r="A1117">
            <v>612.02210000000002</v>
          </cell>
          <cell r="B1117" t="str">
            <v>Pipe Underdrain Unperforated 21-Inch</v>
          </cell>
          <cell r="C1117" t="str">
            <v>LF</v>
          </cell>
        </row>
        <row r="1118">
          <cell r="A1118">
            <v>612.03039999999999</v>
          </cell>
          <cell r="B1118" t="str">
            <v>Pipe Underdrain Drain Tile 4-Inch</v>
          </cell>
          <cell r="C1118" t="str">
            <v>LF</v>
          </cell>
        </row>
        <row r="1119">
          <cell r="A1119">
            <v>612.03049999999996</v>
          </cell>
          <cell r="B1119" t="str">
            <v>Pipe Underdrain Drain Tile 5-Inch</v>
          </cell>
          <cell r="C1119" t="str">
            <v>LF</v>
          </cell>
        </row>
        <row r="1120">
          <cell r="A1120">
            <v>612.03060000000005</v>
          </cell>
          <cell r="B1120" t="str">
            <v>Pipe Underdrain Drain Tile 6-Inch</v>
          </cell>
          <cell r="C1120" t="str">
            <v>LF</v>
          </cell>
        </row>
        <row r="1121">
          <cell r="A1121">
            <v>612.0308</v>
          </cell>
          <cell r="B1121" t="str">
            <v>Pipe Underdrain Drain Tile 8-Inch</v>
          </cell>
          <cell r="C1121" t="str">
            <v>LF</v>
          </cell>
        </row>
        <row r="1122">
          <cell r="A1122">
            <v>612.03099999999995</v>
          </cell>
          <cell r="B1122" t="str">
            <v>Pipe Underdrain Drain Tile 10-Inch</v>
          </cell>
          <cell r="C1122" t="str">
            <v>LF</v>
          </cell>
        </row>
        <row r="1123">
          <cell r="A1123">
            <v>612.03120000000001</v>
          </cell>
          <cell r="B1123" t="str">
            <v>Pipe Underdrain Drain Tile 12-Inch</v>
          </cell>
          <cell r="C1123" t="str">
            <v>LF</v>
          </cell>
        </row>
        <row r="1124">
          <cell r="A1124">
            <v>612.03139999999996</v>
          </cell>
          <cell r="B1124" t="str">
            <v>Pipe Underdrain Drain Tile 14-Inch</v>
          </cell>
          <cell r="C1124" t="str">
            <v>LF</v>
          </cell>
        </row>
        <row r="1125">
          <cell r="A1125">
            <v>612.03150000000005</v>
          </cell>
          <cell r="B1125" t="str">
            <v>Pipe Underdrain Drain Tile 15-Inch</v>
          </cell>
          <cell r="C1125" t="str">
            <v>LF</v>
          </cell>
        </row>
        <row r="1126">
          <cell r="A1126">
            <v>612.03160000000003</v>
          </cell>
          <cell r="B1126" t="str">
            <v>Pipe Underdrain Drain Tile 16-Inch</v>
          </cell>
          <cell r="C1126" t="str">
            <v>LF</v>
          </cell>
        </row>
        <row r="1127">
          <cell r="A1127">
            <v>612.03179999999998</v>
          </cell>
          <cell r="B1127" t="str">
            <v>Pipe Underdrain Drain Tile 18-Inch</v>
          </cell>
          <cell r="C1127" t="str">
            <v>LF</v>
          </cell>
        </row>
        <row r="1128">
          <cell r="A1128">
            <v>612.03219999999999</v>
          </cell>
          <cell r="B1128" t="str">
            <v>Pipe Underdrain Drain Tile 22-Inch</v>
          </cell>
          <cell r="C1128" t="str">
            <v>LF</v>
          </cell>
        </row>
        <row r="1129">
          <cell r="A1129">
            <v>612.03240000000005</v>
          </cell>
          <cell r="B1129" t="str">
            <v>Pipe Underdrain Drain Tile 24-Inch</v>
          </cell>
          <cell r="C1129" t="str">
            <v>LF</v>
          </cell>
        </row>
        <row r="1130">
          <cell r="A1130">
            <v>612.03300000000002</v>
          </cell>
          <cell r="B1130" t="str">
            <v>Pipe Underdrain Drain Tile 30-Inch</v>
          </cell>
          <cell r="C1130" t="str">
            <v>LF</v>
          </cell>
        </row>
        <row r="1131">
          <cell r="A1131">
            <v>612.04039999999998</v>
          </cell>
          <cell r="B1131" t="str">
            <v>Pipe Underdrain Wrapped 4-Inch</v>
          </cell>
          <cell r="C1131" t="str">
            <v>LF</v>
          </cell>
        </row>
        <row r="1132">
          <cell r="A1132">
            <v>612.04060000000004</v>
          </cell>
          <cell r="B1132" t="str">
            <v>Pipe Underdrain Wrapped 6-Inch</v>
          </cell>
          <cell r="C1132" t="str">
            <v>LF</v>
          </cell>
        </row>
        <row r="1133">
          <cell r="A1133">
            <v>612.04079999999999</v>
          </cell>
          <cell r="B1133" t="str">
            <v>Pipe Underdrain Wrapped 8-Inch</v>
          </cell>
          <cell r="C1133" t="str">
            <v>LF</v>
          </cell>
        </row>
        <row r="1134">
          <cell r="A1134">
            <v>612.04100000000005</v>
          </cell>
          <cell r="B1134" t="str">
            <v>Pipe Underdrain Wrapped 10-Inch</v>
          </cell>
          <cell r="C1134" t="str">
            <v>LF</v>
          </cell>
        </row>
        <row r="1135">
          <cell r="A1135">
            <v>612.0412</v>
          </cell>
          <cell r="B1135" t="str">
            <v>Pipe Underdrain Wrapped 12-Inch</v>
          </cell>
          <cell r="C1135" t="str">
            <v>LF</v>
          </cell>
        </row>
        <row r="1136">
          <cell r="A1136">
            <v>612.04150000000004</v>
          </cell>
          <cell r="B1136" t="str">
            <v>Pipe Underdrain Wrapped 15-Inch</v>
          </cell>
          <cell r="C1136" t="str">
            <v>LF</v>
          </cell>
        </row>
        <row r="1137">
          <cell r="A1137">
            <v>612.05039999999997</v>
          </cell>
          <cell r="B1137" t="str">
            <v>Pipe Underdrain Wrapped and Plowed 4-Inch</v>
          </cell>
          <cell r="C1137" t="str">
            <v>LF</v>
          </cell>
        </row>
        <row r="1138">
          <cell r="A1138">
            <v>612.05060000000003</v>
          </cell>
          <cell r="B1138" t="str">
            <v>Pipe Underdrain Wrapped and Plowed 6-Inch</v>
          </cell>
          <cell r="C1138" t="str">
            <v>LF</v>
          </cell>
        </row>
        <row r="1139">
          <cell r="A1139">
            <v>612.05999999999995</v>
          </cell>
          <cell r="B1139" t="str">
            <v>Underdrain Trench</v>
          </cell>
          <cell r="C1139" t="str">
            <v>LF</v>
          </cell>
        </row>
        <row r="1140">
          <cell r="A1140">
            <v>612.07000000000005</v>
          </cell>
          <cell r="B1140" t="str">
            <v>Drain Tile Exploration</v>
          </cell>
          <cell r="C1140" t="str">
            <v>LF</v>
          </cell>
        </row>
        <row r="1141">
          <cell r="A1141">
            <v>612.08040000000005</v>
          </cell>
          <cell r="B1141" t="str">
            <v>Apron Endwalls for Underdrain Reinforced Concrete 4-Inch</v>
          </cell>
          <cell r="C1141" t="str">
            <v>EACH</v>
          </cell>
        </row>
        <row r="1142">
          <cell r="A1142">
            <v>612.0806</v>
          </cell>
          <cell r="B1142" t="str">
            <v>Apron Endwalls for Underdrain Reinforced Concrete 6-Inch</v>
          </cell>
          <cell r="C1142" t="str">
            <v>EACH</v>
          </cell>
        </row>
        <row r="1143">
          <cell r="A1143">
            <v>614.01049999999998</v>
          </cell>
          <cell r="B1143" t="str">
            <v>Anchorages for Steel Plate Beam Guard</v>
          </cell>
          <cell r="C1143" t="str">
            <v>EACH</v>
          </cell>
        </row>
        <row r="1144">
          <cell r="A1144">
            <v>614.01099999999997</v>
          </cell>
          <cell r="B1144" t="str">
            <v>Anchorages for Steel Plate Beam Guard Temporary</v>
          </cell>
          <cell r="C1144" t="str">
            <v>EACH</v>
          </cell>
        </row>
        <row r="1145">
          <cell r="A1145">
            <v>614.01149999999996</v>
          </cell>
          <cell r="B1145" t="str">
            <v>Anchorages for Steel Plate Beam Guard Type 2</v>
          </cell>
          <cell r="C1145" t="str">
            <v>EACH</v>
          </cell>
        </row>
        <row r="1146">
          <cell r="A1146">
            <v>614.01499999999999</v>
          </cell>
          <cell r="B1146" t="str">
            <v>Anchor Assemblies for Steel Plate Beam Guard</v>
          </cell>
          <cell r="C1146" t="str">
            <v>EACH</v>
          </cell>
        </row>
        <row r="1147">
          <cell r="A1147">
            <v>614.02</v>
          </cell>
          <cell r="B1147" t="str">
            <v>Steel Thrie Beam Structure Approach</v>
          </cell>
          <cell r="C1147" t="str">
            <v>LF</v>
          </cell>
        </row>
        <row r="1148">
          <cell r="A1148">
            <v>614.02200000000005</v>
          </cell>
          <cell r="B1148" t="str">
            <v>Steel Thrie Beam Bullnose Terminal</v>
          </cell>
          <cell r="C1148" t="str">
            <v>EACH</v>
          </cell>
        </row>
        <row r="1149">
          <cell r="A1149">
            <v>614.02300000000002</v>
          </cell>
          <cell r="B1149" t="str">
            <v>Steel Thrie Beam</v>
          </cell>
          <cell r="C1149" t="str">
            <v>LF</v>
          </cell>
        </row>
        <row r="1150">
          <cell r="A1150">
            <v>614.02499999999998</v>
          </cell>
          <cell r="B1150" t="str">
            <v>Steel Thrie Beam Structure Approach Temporary</v>
          </cell>
          <cell r="C1150" t="str">
            <v>LF</v>
          </cell>
        </row>
        <row r="1151">
          <cell r="A1151">
            <v>614.03049999999996</v>
          </cell>
          <cell r="B1151" t="str">
            <v>Steel Plate Beam Guard Class A</v>
          </cell>
          <cell r="C1151" t="str">
            <v>LF</v>
          </cell>
        </row>
        <row r="1152">
          <cell r="A1152">
            <v>614.03099999999995</v>
          </cell>
          <cell r="B1152" t="str">
            <v>Steel Plate Beam Guard Class B</v>
          </cell>
          <cell r="C1152" t="str">
            <v>LF</v>
          </cell>
        </row>
        <row r="1153">
          <cell r="A1153">
            <v>614.03399999999999</v>
          </cell>
          <cell r="B1153" t="str">
            <v>Steel Plate Beam Guard Over Low-Fill Culverts Class A</v>
          </cell>
          <cell r="C1153" t="str">
            <v>LF</v>
          </cell>
        </row>
        <row r="1154">
          <cell r="A1154">
            <v>614.03449999999998</v>
          </cell>
          <cell r="B1154" t="str">
            <v>Steel Plate Beam Guard Short Radius</v>
          </cell>
          <cell r="C1154" t="str">
            <v>LF</v>
          </cell>
        </row>
        <row r="1155">
          <cell r="A1155">
            <v>614.03549999999996</v>
          </cell>
          <cell r="B1155" t="str">
            <v>Steel Plate Beam Median Guard</v>
          </cell>
          <cell r="C1155" t="str">
            <v>LF</v>
          </cell>
        </row>
        <row r="1156">
          <cell r="A1156">
            <v>614.03599999999994</v>
          </cell>
          <cell r="B1156" t="str">
            <v>Steel Plate Beam Guard Temporary</v>
          </cell>
          <cell r="C1156" t="str">
            <v>LF</v>
          </cell>
        </row>
        <row r="1157">
          <cell r="A1157">
            <v>614.03700000000003</v>
          </cell>
          <cell r="B1157" t="str">
            <v>Steel Plate Beam Guard Energy Absorbing Terminal</v>
          </cell>
          <cell r="C1157" t="str">
            <v>EACH</v>
          </cell>
        </row>
        <row r="1158">
          <cell r="A1158">
            <v>614.03800000000001</v>
          </cell>
          <cell r="B1158" t="str">
            <v>Steel Plate Beam guard Energy Absorbing Terminal Temporary</v>
          </cell>
          <cell r="C1158" t="str">
            <v>EACH</v>
          </cell>
        </row>
        <row r="1159">
          <cell r="A1159">
            <v>614.03899999999999</v>
          </cell>
          <cell r="B1159" t="str">
            <v>Steel Plate Beam Guard Short Radius Terminal</v>
          </cell>
          <cell r="C1159" t="str">
            <v>EACH</v>
          </cell>
        </row>
        <row r="1160">
          <cell r="A1160">
            <v>614.03949999999998</v>
          </cell>
          <cell r="B1160" t="str">
            <v>Guardrail Mow Strip Concrete</v>
          </cell>
          <cell r="C1160" t="str">
            <v>SY</v>
          </cell>
        </row>
        <row r="1161">
          <cell r="A1161">
            <v>614.03959999999995</v>
          </cell>
          <cell r="B1161" t="str">
            <v>Guardrail Mow Strip Asphalt</v>
          </cell>
          <cell r="C1161" t="str">
            <v>SY</v>
          </cell>
        </row>
        <row r="1162">
          <cell r="A1162">
            <v>614.04</v>
          </cell>
          <cell r="B1162" t="str">
            <v>Adjusting Steel Plate Beam Guard</v>
          </cell>
          <cell r="C1162" t="str">
            <v>LF</v>
          </cell>
        </row>
        <row r="1163">
          <cell r="A1163">
            <v>614.05100000000004</v>
          </cell>
          <cell r="B1163" t="str">
            <v>Guardrail Stiffened NW</v>
          </cell>
          <cell r="C1163" t="str">
            <v>LF</v>
          </cell>
        </row>
        <row r="1164">
          <cell r="A1164">
            <v>614.05150000000003</v>
          </cell>
          <cell r="B1164" t="str">
            <v>Guardrail Stiffened LHW</v>
          </cell>
          <cell r="C1164" t="str">
            <v>LF</v>
          </cell>
        </row>
        <row r="1165">
          <cell r="A1165">
            <v>614.07000000000005</v>
          </cell>
          <cell r="B1165" t="str">
            <v>Sand Barrel Arrays</v>
          </cell>
          <cell r="C1165" t="str">
            <v>EACH</v>
          </cell>
        </row>
        <row r="1166">
          <cell r="A1166">
            <v>614.08000000000004</v>
          </cell>
          <cell r="B1166" t="str">
            <v>Crash Cushions Permanent</v>
          </cell>
          <cell r="C1166" t="str">
            <v>EACH</v>
          </cell>
        </row>
        <row r="1167">
          <cell r="A1167">
            <v>614.08050000000003</v>
          </cell>
          <cell r="B1167" t="str">
            <v>Crash Cushions Permanent Low Maintenance</v>
          </cell>
          <cell r="C1167" t="str">
            <v>EACH</v>
          </cell>
        </row>
        <row r="1168">
          <cell r="A1168">
            <v>614.09050000000002</v>
          </cell>
          <cell r="B1168" t="str">
            <v>Crash Cushions Temporary</v>
          </cell>
          <cell r="C1168" t="str">
            <v>EACH</v>
          </cell>
        </row>
        <row r="1169">
          <cell r="A1169">
            <v>614.09199999999998</v>
          </cell>
          <cell r="B1169" t="str">
            <v>Salvaged Rail</v>
          </cell>
          <cell r="C1169" t="str">
            <v>LF</v>
          </cell>
        </row>
        <row r="1170">
          <cell r="A1170">
            <v>614.09249999999997</v>
          </cell>
          <cell r="B1170" t="str">
            <v>Salvaged Guardrail End Treatments</v>
          </cell>
          <cell r="C1170" t="str">
            <v>EACH</v>
          </cell>
        </row>
        <row r="1171">
          <cell r="A1171">
            <v>614.09299999999996</v>
          </cell>
          <cell r="B1171" t="str">
            <v>Salvaged Crash Cushions</v>
          </cell>
          <cell r="C1171" t="str">
            <v>EACH</v>
          </cell>
        </row>
        <row r="1172">
          <cell r="A1172">
            <v>614.09349999999995</v>
          </cell>
          <cell r="B1172" t="str">
            <v>Salvaged Sand Barrels</v>
          </cell>
          <cell r="C1172" t="str">
            <v>EACH</v>
          </cell>
        </row>
        <row r="1173">
          <cell r="A1173">
            <v>614.09500000000003</v>
          </cell>
          <cell r="B1173" t="str">
            <v>Replacing Guardrail Posts and Blocks</v>
          </cell>
          <cell r="C1173" t="str">
            <v>EACH</v>
          </cell>
        </row>
        <row r="1174">
          <cell r="A1174">
            <v>614.0951</v>
          </cell>
          <cell r="B1174" t="str">
            <v>Replacing Guardrail Rail and Hardware</v>
          </cell>
          <cell r="C1174" t="str">
            <v>LF</v>
          </cell>
        </row>
        <row r="1175">
          <cell r="A1175">
            <v>615.01</v>
          </cell>
          <cell r="B1175" t="str">
            <v>Guard Fence Timber Rail</v>
          </cell>
          <cell r="C1175" t="str">
            <v>LF</v>
          </cell>
        </row>
        <row r="1176">
          <cell r="A1176">
            <v>615.02</v>
          </cell>
          <cell r="B1176" t="str">
            <v>Curbs Treated Timber</v>
          </cell>
          <cell r="C1176" t="str">
            <v>EACH</v>
          </cell>
        </row>
        <row r="1177">
          <cell r="A1177">
            <v>615.03</v>
          </cell>
          <cell r="B1177" t="str">
            <v>Guard Posts Timber</v>
          </cell>
          <cell r="C1177" t="str">
            <v>EACH</v>
          </cell>
        </row>
        <row r="1178">
          <cell r="A1178">
            <v>615.04</v>
          </cell>
          <cell r="B1178" t="str">
            <v>Marker Posts Rustic</v>
          </cell>
          <cell r="C1178" t="str">
            <v>EACH</v>
          </cell>
        </row>
        <row r="1179">
          <cell r="A1179">
            <v>615.1</v>
          </cell>
          <cell r="B1179" t="str">
            <v>Wisconsin Historical Marker (project)</v>
          </cell>
          <cell r="C1179" t="str">
            <v>LS</v>
          </cell>
        </row>
        <row r="1180">
          <cell r="A1180">
            <v>616.01</v>
          </cell>
          <cell r="B1180" t="str">
            <v>Fence Woven Wire (height)</v>
          </cell>
          <cell r="C1180" t="str">
            <v>LF</v>
          </cell>
        </row>
        <row r="1181">
          <cell r="A1181">
            <v>616.0204</v>
          </cell>
          <cell r="B1181" t="str">
            <v>Fence Chain Link 4-FT</v>
          </cell>
          <cell r="C1181" t="str">
            <v>LF</v>
          </cell>
        </row>
        <row r="1182">
          <cell r="A1182">
            <v>616.02049999999997</v>
          </cell>
          <cell r="B1182" t="str">
            <v>Fence Chain Link 5-FT</v>
          </cell>
          <cell r="C1182" t="str">
            <v>LF</v>
          </cell>
        </row>
        <row r="1183">
          <cell r="A1183">
            <v>616.02059999999994</v>
          </cell>
          <cell r="B1183" t="str">
            <v>Fence Chain Link 6-FT</v>
          </cell>
          <cell r="C1183" t="str">
            <v>LF</v>
          </cell>
        </row>
        <row r="1184">
          <cell r="A1184">
            <v>616.02070000000003</v>
          </cell>
          <cell r="B1184" t="str">
            <v>Fence Chain Link 7-FT</v>
          </cell>
          <cell r="C1184" t="str">
            <v>LF</v>
          </cell>
        </row>
        <row r="1185">
          <cell r="A1185">
            <v>616.02080000000001</v>
          </cell>
          <cell r="B1185" t="str">
            <v>Fence Chain Link 8-FT</v>
          </cell>
          <cell r="C1185" t="str">
            <v>LF</v>
          </cell>
        </row>
        <row r="1186">
          <cell r="A1186">
            <v>616.02099999999996</v>
          </cell>
          <cell r="B1186" t="str">
            <v>Fence Chain Link 10-FT</v>
          </cell>
          <cell r="C1186" t="str">
            <v>LF</v>
          </cell>
        </row>
        <row r="1187">
          <cell r="A1187">
            <v>616.03290000000004</v>
          </cell>
          <cell r="B1187" t="str">
            <v>Gates Chain Link (width)</v>
          </cell>
          <cell r="C1187" t="str">
            <v>EACH</v>
          </cell>
        </row>
        <row r="1188">
          <cell r="A1188">
            <v>616.04039999999998</v>
          </cell>
          <cell r="B1188" t="str">
            <v>Fence Chain Link Salvaged 4-FT</v>
          </cell>
          <cell r="C1188" t="str">
            <v>LF</v>
          </cell>
        </row>
        <row r="1189">
          <cell r="A1189">
            <v>616.04049999999995</v>
          </cell>
          <cell r="B1189" t="str">
            <v>Fence Chain Link Salvaged 5-FT</v>
          </cell>
          <cell r="C1189" t="str">
            <v>LF</v>
          </cell>
        </row>
        <row r="1190">
          <cell r="A1190">
            <v>616.04060000000004</v>
          </cell>
          <cell r="B1190" t="str">
            <v>Fence Chain Link Salvaged 6-FT</v>
          </cell>
          <cell r="C1190" t="str">
            <v>LF</v>
          </cell>
        </row>
        <row r="1191">
          <cell r="A1191">
            <v>616.04070000000002</v>
          </cell>
          <cell r="B1191" t="str">
            <v>Fence Chain Link Salvaged 7-FT</v>
          </cell>
          <cell r="C1191" t="str">
            <v>LF</v>
          </cell>
        </row>
        <row r="1192">
          <cell r="A1192">
            <v>616.04079999999999</v>
          </cell>
          <cell r="B1192" t="str">
            <v>Fence Chain Link Salvaged 8-FT</v>
          </cell>
          <cell r="C1192" t="str">
            <v>LF</v>
          </cell>
        </row>
        <row r="1193">
          <cell r="A1193">
            <v>616.04100000000005</v>
          </cell>
          <cell r="B1193" t="str">
            <v>Fence Chain Link Salvaged 10-FT</v>
          </cell>
          <cell r="C1193" t="str">
            <v>LF</v>
          </cell>
        </row>
        <row r="1194">
          <cell r="A1194">
            <v>616.04999999999995</v>
          </cell>
          <cell r="B1194" t="str">
            <v>Fence High Tensile Wire (height)</v>
          </cell>
          <cell r="C1194" t="str">
            <v>LF</v>
          </cell>
        </row>
        <row r="1195">
          <cell r="A1195">
            <v>617.01</v>
          </cell>
          <cell r="B1195" t="str">
            <v>Hauling (material)</v>
          </cell>
          <cell r="C1195" t="str">
            <v>CYMI</v>
          </cell>
        </row>
        <row r="1196">
          <cell r="A1196">
            <v>618.01</v>
          </cell>
          <cell r="B1196" t="str">
            <v>Maintenance and Repair of Haul Roads (project)</v>
          </cell>
          <cell r="C1196" t="str">
            <v>EACH</v>
          </cell>
        </row>
        <row r="1197">
          <cell r="A1197">
            <v>619.1</v>
          </cell>
          <cell r="B1197" t="str">
            <v>Mobilization</v>
          </cell>
          <cell r="C1197" t="str">
            <v>EACH</v>
          </cell>
        </row>
        <row r="1198">
          <cell r="A1198">
            <v>620.01</v>
          </cell>
          <cell r="B1198" t="str">
            <v>Concrete Corrugated Median</v>
          </cell>
          <cell r="C1198" t="str">
            <v>SF</v>
          </cell>
        </row>
        <row r="1199">
          <cell r="A1199">
            <v>620.02</v>
          </cell>
          <cell r="B1199" t="str">
            <v>Concrete Median Blunt Nose</v>
          </cell>
          <cell r="C1199" t="str">
            <v>SF</v>
          </cell>
        </row>
        <row r="1200">
          <cell r="A1200">
            <v>620.03</v>
          </cell>
          <cell r="B1200" t="str">
            <v>Concrete Median Sloped Nose</v>
          </cell>
          <cell r="C1200" t="str">
            <v>SF</v>
          </cell>
        </row>
        <row r="1201">
          <cell r="A1201">
            <v>621.01</v>
          </cell>
          <cell r="B1201" t="str">
            <v>Landmark Reference Monuments</v>
          </cell>
          <cell r="C1201" t="str">
            <v>EACH</v>
          </cell>
        </row>
        <row r="1202">
          <cell r="A1202">
            <v>621.11</v>
          </cell>
          <cell r="B1202" t="str">
            <v>Landmark Reference Monuments and Cast Iron Covers</v>
          </cell>
          <cell r="C1202" t="str">
            <v>EACH</v>
          </cell>
        </row>
        <row r="1203">
          <cell r="A1203">
            <v>621.12</v>
          </cell>
          <cell r="B1203" t="str">
            <v>Landmark Reference Monuments and Aluminum Covers</v>
          </cell>
          <cell r="C1203" t="str">
            <v>EACH</v>
          </cell>
        </row>
        <row r="1204">
          <cell r="A1204">
            <v>623.02</v>
          </cell>
          <cell r="B1204" t="str">
            <v>Dust Control Surface Treatment</v>
          </cell>
          <cell r="C1204" t="str">
            <v>SY</v>
          </cell>
        </row>
        <row r="1205">
          <cell r="A1205">
            <v>624.01</v>
          </cell>
          <cell r="B1205" t="str">
            <v>Water</v>
          </cell>
          <cell r="C1205" t="str">
            <v>MGAL</v>
          </cell>
        </row>
        <row r="1206">
          <cell r="A1206">
            <v>625.01</v>
          </cell>
          <cell r="B1206" t="str">
            <v>Topsoil</v>
          </cell>
          <cell r="C1206" t="str">
            <v>SY</v>
          </cell>
        </row>
        <row r="1207">
          <cell r="A1207">
            <v>625.01049999999998</v>
          </cell>
          <cell r="B1207" t="str">
            <v>Topsoil</v>
          </cell>
          <cell r="C1207" t="str">
            <v>CY</v>
          </cell>
        </row>
        <row r="1208">
          <cell r="A1208">
            <v>625.04999999999995</v>
          </cell>
          <cell r="B1208" t="str">
            <v>Salvaged Topsoil</v>
          </cell>
          <cell r="C1208" t="str">
            <v>SY</v>
          </cell>
        </row>
        <row r="1209">
          <cell r="A1209">
            <v>626.02</v>
          </cell>
          <cell r="B1209" t="str">
            <v>Peat Humus</v>
          </cell>
          <cell r="C1209" t="str">
            <v>SY</v>
          </cell>
        </row>
        <row r="1210">
          <cell r="A1210">
            <v>627.02</v>
          </cell>
          <cell r="B1210" t="str">
            <v>Mulching</v>
          </cell>
          <cell r="C1210" t="str">
            <v>SY</v>
          </cell>
        </row>
        <row r="1211">
          <cell r="A1211">
            <v>627.02049999999997</v>
          </cell>
          <cell r="B1211" t="str">
            <v>Mulching</v>
          </cell>
          <cell r="C1211" t="str">
            <v>TON</v>
          </cell>
        </row>
        <row r="1212">
          <cell r="A1212">
            <v>628.11040000000003</v>
          </cell>
          <cell r="B1212" t="str">
            <v>Erosion Bales</v>
          </cell>
          <cell r="C1212" t="str">
            <v>EACH</v>
          </cell>
        </row>
        <row r="1213">
          <cell r="A1213">
            <v>628.15039999999999</v>
          </cell>
          <cell r="B1213" t="str">
            <v>Silt Fence</v>
          </cell>
          <cell r="C1213" t="str">
            <v>LF</v>
          </cell>
        </row>
        <row r="1214">
          <cell r="A1214">
            <v>628.15200000000004</v>
          </cell>
          <cell r="B1214" t="str">
            <v>Silt Fence Maintenance</v>
          </cell>
          <cell r="C1214" t="str">
            <v>LF</v>
          </cell>
        </row>
        <row r="1215">
          <cell r="A1215">
            <v>628.15499999999997</v>
          </cell>
          <cell r="B1215" t="str">
            <v>Silt Screen</v>
          </cell>
          <cell r="C1215" t="str">
            <v>LF</v>
          </cell>
        </row>
        <row r="1216">
          <cell r="A1216">
            <v>628.19050000000004</v>
          </cell>
          <cell r="B1216" t="str">
            <v>Mobilizations Erosion Control</v>
          </cell>
          <cell r="C1216" t="str">
            <v>EACH</v>
          </cell>
        </row>
        <row r="1217">
          <cell r="A1217">
            <v>628.19100000000003</v>
          </cell>
          <cell r="B1217" t="str">
            <v>Mobilizations Emergency Erosion Control</v>
          </cell>
          <cell r="C1217" t="str">
            <v>EACH</v>
          </cell>
        </row>
        <row r="1218">
          <cell r="A1218">
            <v>628.19200000000001</v>
          </cell>
          <cell r="B1218" t="str">
            <v>Cleaning Sediment Basins</v>
          </cell>
          <cell r="C1218" t="str">
            <v>CY</v>
          </cell>
        </row>
        <row r="1219">
          <cell r="A1219">
            <v>628.2002</v>
          </cell>
          <cell r="B1219" t="str">
            <v>Erosion Mat Class I Type A</v>
          </cell>
          <cell r="C1219" t="str">
            <v>SY</v>
          </cell>
        </row>
        <row r="1220">
          <cell r="A1220">
            <v>628.20039999999995</v>
          </cell>
          <cell r="B1220" t="str">
            <v>Erosion Mat Class I Type B</v>
          </cell>
          <cell r="C1220" t="str">
            <v>SY</v>
          </cell>
        </row>
        <row r="1221">
          <cell r="A1221">
            <v>628.20060000000001</v>
          </cell>
          <cell r="B1221" t="str">
            <v>Erosion Mat Urban Class I Type A</v>
          </cell>
          <cell r="C1221" t="str">
            <v>SY</v>
          </cell>
        </row>
        <row r="1222">
          <cell r="A1222">
            <v>628.20079999999996</v>
          </cell>
          <cell r="B1222" t="str">
            <v>Erosion Mat Urban Class I Type B</v>
          </cell>
          <cell r="C1222" t="str">
            <v>SY</v>
          </cell>
        </row>
        <row r="1223">
          <cell r="A1223">
            <v>628.20209999999997</v>
          </cell>
          <cell r="B1223" t="str">
            <v>Erosion Mat Class II Type A</v>
          </cell>
          <cell r="C1223" t="str">
            <v>SY</v>
          </cell>
        </row>
        <row r="1224">
          <cell r="A1224">
            <v>628.20230000000004</v>
          </cell>
          <cell r="B1224" t="str">
            <v>Erosion Mat Class II Type B</v>
          </cell>
          <cell r="C1224" t="str">
            <v>SY</v>
          </cell>
        </row>
        <row r="1225">
          <cell r="A1225">
            <v>628.20270000000005</v>
          </cell>
          <cell r="B1225" t="str">
            <v>Erosion Mat Class II Type C</v>
          </cell>
          <cell r="C1225" t="str">
            <v>SY</v>
          </cell>
        </row>
        <row r="1226">
          <cell r="A1226">
            <v>628.20309999999995</v>
          </cell>
          <cell r="B1226" t="str">
            <v>Erosion Mat Class III Type A</v>
          </cell>
          <cell r="C1226" t="str">
            <v>SY</v>
          </cell>
        </row>
        <row r="1227">
          <cell r="A1227">
            <v>628.20330000000001</v>
          </cell>
          <cell r="B1227" t="str">
            <v>Erosion Mat Class III Type B</v>
          </cell>
          <cell r="C1227" t="str">
            <v>SY</v>
          </cell>
        </row>
        <row r="1228">
          <cell r="A1228">
            <v>628.20370000000003</v>
          </cell>
          <cell r="B1228" t="str">
            <v>Erosion Mat Class III Type C</v>
          </cell>
          <cell r="C1228" t="str">
            <v>SY</v>
          </cell>
        </row>
        <row r="1229">
          <cell r="A1229">
            <v>628.20389999999998</v>
          </cell>
          <cell r="B1229" t="str">
            <v>Erosion Mat Class III Type D</v>
          </cell>
          <cell r="C1229" t="str">
            <v>SY</v>
          </cell>
        </row>
        <row r="1230">
          <cell r="A1230">
            <v>628.55050000000006</v>
          </cell>
          <cell r="B1230" t="str">
            <v>Polyethylene Sheeting</v>
          </cell>
          <cell r="C1230" t="str">
            <v>SY</v>
          </cell>
        </row>
        <row r="1231">
          <cell r="A1231">
            <v>628.60050000000001</v>
          </cell>
          <cell r="B1231" t="str">
            <v>Turbidity Barriers</v>
          </cell>
          <cell r="C1231" t="str">
            <v>SY</v>
          </cell>
        </row>
        <row r="1232">
          <cell r="A1232">
            <v>628.65049999999997</v>
          </cell>
          <cell r="B1232" t="str">
            <v>Soil Stabilizer Type A</v>
          </cell>
          <cell r="C1232" t="str">
            <v>ACRE</v>
          </cell>
        </row>
        <row r="1233">
          <cell r="A1233">
            <v>628.65099999999995</v>
          </cell>
          <cell r="B1233" t="str">
            <v>Soil Stabilizer Type B</v>
          </cell>
          <cell r="C1233" t="str">
            <v>ACRE</v>
          </cell>
        </row>
        <row r="1234">
          <cell r="A1234">
            <v>628.70050000000003</v>
          </cell>
          <cell r="B1234" t="str">
            <v>Inlet Protection Type A</v>
          </cell>
          <cell r="C1234" t="str">
            <v>EACH</v>
          </cell>
        </row>
        <row r="1235">
          <cell r="A1235">
            <v>628.70100000000002</v>
          </cell>
          <cell r="B1235" t="str">
            <v>Inlet Protection Type B</v>
          </cell>
          <cell r="C1235" t="str">
            <v>EACH</v>
          </cell>
        </row>
        <row r="1236">
          <cell r="A1236">
            <v>628.70150000000001</v>
          </cell>
          <cell r="B1236" t="str">
            <v>Inlet Protection Type C</v>
          </cell>
          <cell r="C1236" t="str">
            <v>EACH</v>
          </cell>
        </row>
        <row r="1237">
          <cell r="A1237">
            <v>628.702</v>
          </cell>
          <cell r="B1237" t="str">
            <v>Inlet Protection Type D</v>
          </cell>
          <cell r="C1237" t="str">
            <v>EACH</v>
          </cell>
        </row>
        <row r="1238">
          <cell r="A1238">
            <v>628.75040000000001</v>
          </cell>
          <cell r="B1238" t="str">
            <v>Temporary Ditch Checks</v>
          </cell>
          <cell r="C1238" t="str">
            <v>LF</v>
          </cell>
        </row>
        <row r="1239">
          <cell r="A1239">
            <v>628.75549999999998</v>
          </cell>
          <cell r="B1239" t="str">
            <v xml:space="preserve">Culvert Pipe Checks </v>
          </cell>
          <cell r="C1239" t="str">
            <v>EACH</v>
          </cell>
        </row>
        <row r="1240">
          <cell r="A1240">
            <v>628.75599999999997</v>
          </cell>
          <cell r="B1240" t="str">
            <v xml:space="preserve">Tracking Pads </v>
          </cell>
          <cell r="C1240" t="str">
            <v>EACH</v>
          </cell>
        </row>
        <row r="1241">
          <cell r="A1241">
            <v>628.75699999999995</v>
          </cell>
          <cell r="B1241" t="str">
            <v>Rock Bags</v>
          </cell>
          <cell r="C1241" t="str">
            <v>EACH</v>
          </cell>
        </row>
        <row r="1242">
          <cell r="A1242">
            <v>629.02049999999997</v>
          </cell>
          <cell r="B1242" t="str">
            <v>Fertilizer Type A</v>
          </cell>
          <cell r="C1242" t="str">
            <v>CWT</v>
          </cell>
        </row>
        <row r="1243">
          <cell r="A1243">
            <v>629.02099999999996</v>
          </cell>
          <cell r="B1243" t="str">
            <v>Fertilizer Type B</v>
          </cell>
          <cell r="C1243" t="str">
            <v>CWT</v>
          </cell>
        </row>
        <row r="1244">
          <cell r="A1244">
            <v>629.11</v>
          </cell>
          <cell r="B1244" t="str">
            <v>Agricultural Limestone Treatment</v>
          </cell>
          <cell r="C1244" t="str">
            <v>TON</v>
          </cell>
        </row>
        <row r="1245">
          <cell r="A1245">
            <v>630.01099999999997</v>
          </cell>
          <cell r="B1245" t="str">
            <v>Seeding Mixture No. 10</v>
          </cell>
          <cell r="C1245" t="str">
            <v>LB</v>
          </cell>
        </row>
        <row r="1246">
          <cell r="A1246">
            <v>630.01199999999994</v>
          </cell>
          <cell r="B1246" t="str">
            <v>Seeding Mixture No. 20</v>
          </cell>
          <cell r="C1246" t="str">
            <v>LB</v>
          </cell>
        </row>
        <row r="1247">
          <cell r="A1247">
            <v>630.01300000000003</v>
          </cell>
          <cell r="B1247" t="str">
            <v>Seeding Mixture No. 30</v>
          </cell>
          <cell r="C1247" t="str">
            <v>LB</v>
          </cell>
        </row>
        <row r="1248">
          <cell r="A1248">
            <v>630.01400000000001</v>
          </cell>
          <cell r="B1248" t="str">
            <v>Seeding Mixture No. 40</v>
          </cell>
          <cell r="C1248" t="str">
            <v>LB</v>
          </cell>
        </row>
        <row r="1249">
          <cell r="A1249">
            <v>630.01599999999996</v>
          </cell>
          <cell r="B1249" t="str">
            <v>Seeding Mixture No. 60</v>
          </cell>
          <cell r="C1249" t="str">
            <v>LB</v>
          </cell>
        </row>
        <row r="1250">
          <cell r="A1250">
            <v>630.01700000000005</v>
          </cell>
          <cell r="B1250" t="str">
            <v>Seeding Mixture No. 70</v>
          </cell>
          <cell r="C1250" t="str">
            <v>LB</v>
          </cell>
        </row>
        <row r="1251">
          <cell r="A1251">
            <v>630.01710000000003</v>
          </cell>
          <cell r="B1251" t="str">
            <v>Seeding Mixture No. 70A</v>
          </cell>
          <cell r="C1251" t="str">
            <v>LB</v>
          </cell>
        </row>
        <row r="1252">
          <cell r="A1252">
            <v>630.01750000000004</v>
          </cell>
          <cell r="B1252" t="str">
            <v>Seeding Mixture No. 75</v>
          </cell>
          <cell r="C1252" t="str">
            <v>LB</v>
          </cell>
        </row>
        <row r="1253">
          <cell r="A1253">
            <v>630.01800000000003</v>
          </cell>
          <cell r="B1253" t="str">
            <v>Seeding Mixture No. 80</v>
          </cell>
          <cell r="C1253" t="str">
            <v>LB</v>
          </cell>
        </row>
        <row r="1254">
          <cell r="A1254">
            <v>630.02</v>
          </cell>
          <cell r="B1254" t="str">
            <v>Seeding Temporary</v>
          </cell>
          <cell r="C1254" t="str">
            <v>LB</v>
          </cell>
        </row>
        <row r="1255">
          <cell r="A1255">
            <v>630.03</v>
          </cell>
          <cell r="B1255" t="str">
            <v>Seeding Borrow Pit</v>
          </cell>
          <cell r="C1255" t="str">
            <v>LB</v>
          </cell>
        </row>
        <row r="1256">
          <cell r="A1256">
            <v>630.04</v>
          </cell>
          <cell r="B1256" t="str">
            <v>Seeding Nurse Crop</v>
          </cell>
          <cell r="C1256" t="str">
            <v>LB</v>
          </cell>
        </row>
        <row r="1257">
          <cell r="A1257">
            <v>631.03</v>
          </cell>
          <cell r="B1257" t="str">
            <v>Sod Water</v>
          </cell>
          <cell r="C1257" t="str">
            <v>MGAL</v>
          </cell>
        </row>
        <row r="1258">
          <cell r="A1258">
            <v>631.1</v>
          </cell>
          <cell r="B1258" t="str">
            <v>Sod Lawn</v>
          </cell>
          <cell r="C1258" t="str">
            <v>SY</v>
          </cell>
        </row>
        <row r="1259">
          <cell r="A1259">
            <v>631.11</v>
          </cell>
          <cell r="B1259" t="str">
            <v>Sod Erosion Control</v>
          </cell>
          <cell r="C1259" t="str">
            <v>SY</v>
          </cell>
        </row>
        <row r="1260">
          <cell r="A1260">
            <v>631.12</v>
          </cell>
          <cell r="B1260" t="str">
            <v>Sod Erosion Control Sandy Soil</v>
          </cell>
          <cell r="C1260" t="str">
            <v>SY</v>
          </cell>
        </row>
        <row r="1261">
          <cell r="A1261">
            <v>632.01009999999997</v>
          </cell>
          <cell r="B1261" t="str">
            <v>Trees (species, root, size)</v>
          </cell>
          <cell r="C1261" t="str">
            <v>EACH</v>
          </cell>
        </row>
        <row r="1262">
          <cell r="A1262">
            <v>632.02009999999996</v>
          </cell>
          <cell r="B1262" t="str">
            <v>Shrubs (species, root, size)</v>
          </cell>
          <cell r="C1262" t="str">
            <v>EACH</v>
          </cell>
        </row>
        <row r="1263">
          <cell r="A1263">
            <v>632.03009999999995</v>
          </cell>
          <cell r="B1263" t="str">
            <v>Vines (species, root, size)</v>
          </cell>
          <cell r="C1263" t="str">
            <v>EACH</v>
          </cell>
        </row>
        <row r="1264">
          <cell r="A1264">
            <v>632.91010000000006</v>
          </cell>
          <cell r="B1264" t="str">
            <v>Landscape Planting Surveillance and Care Cycles</v>
          </cell>
          <cell r="C1264" t="str">
            <v>EACH</v>
          </cell>
        </row>
        <row r="1265">
          <cell r="A1265">
            <v>633.01</v>
          </cell>
          <cell r="B1265" t="str">
            <v>Delineator Posts Steel</v>
          </cell>
          <cell r="C1265" t="str">
            <v>EACH</v>
          </cell>
        </row>
        <row r="1266">
          <cell r="A1266">
            <v>633.02</v>
          </cell>
          <cell r="B1266" t="str">
            <v>Delineators Flexible</v>
          </cell>
          <cell r="C1266" t="str">
            <v>EACH</v>
          </cell>
        </row>
        <row r="1267">
          <cell r="A1267">
            <v>633.04999999999995</v>
          </cell>
          <cell r="B1267" t="str">
            <v>Delineator Reflectors</v>
          </cell>
          <cell r="C1267" t="str">
            <v>EACH</v>
          </cell>
        </row>
        <row r="1268">
          <cell r="A1268">
            <v>633.1</v>
          </cell>
          <cell r="B1268" t="str">
            <v>Delineator Brackets</v>
          </cell>
          <cell r="C1268" t="str">
            <v>EACH</v>
          </cell>
        </row>
        <row r="1269">
          <cell r="A1269">
            <v>633.11</v>
          </cell>
          <cell r="B1269" t="str">
            <v>Delineators Temporary</v>
          </cell>
          <cell r="C1269" t="str">
            <v>EACH</v>
          </cell>
        </row>
        <row r="1270">
          <cell r="A1270">
            <v>633.51</v>
          </cell>
          <cell r="B1270" t="str">
            <v>Markers ROW</v>
          </cell>
          <cell r="C1270" t="str">
            <v>EACH</v>
          </cell>
        </row>
        <row r="1271">
          <cell r="A1271">
            <v>633.52</v>
          </cell>
          <cell r="B1271" t="str">
            <v>Markers Culvert End</v>
          </cell>
          <cell r="C1271" t="str">
            <v>EACH</v>
          </cell>
        </row>
        <row r="1272">
          <cell r="A1272">
            <v>633.90099999999995</v>
          </cell>
          <cell r="B1272" t="str">
            <v>Salvaged Delineator Steel</v>
          </cell>
          <cell r="C1272" t="str">
            <v>EACH</v>
          </cell>
        </row>
        <row r="1273">
          <cell r="A1273">
            <v>634.04100000000005</v>
          </cell>
          <cell r="B1273" t="str">
            <v>Posts Wood 4x4-Inch x 10-FT</v>
          </cell>
          <cell r="C1273" t="str">
            <v>EACH</v>
          </cell>
        </row>
        <row r="1274">
          <cell r="A1274">
            <v>634.0412</v>
          </cell>
          <cell r="B1274" t="str">
            <v>Posts Wood 4x4-Inch x 12-FT</v>
          </cell>
          <cell r="C1274" t="str">
            <v>EACH</v>
          </cell>
        </row>
        <row r="1275">
          <cell r="A1275">
            <v>634.04139999999995</v>
          </cell>
          <cell r="B1275" t="str">
            <v>Posts Wood 4x4-Inch x 14-FT</v>
          </cell>
          <cell r="C1275" t="str">
            <v>EACH</v>
          </cell>
        </row>
        <row r="1276">
          <cell r="A1276">
            <v>634.04160000000002</v>
          </cell>
          <cell r="B1276" t="str">
            <v>Posts Wood 4x4-Inch x 16-FT</v>
          </cell>
          <cell r="C1276" t="str">
            <v>EACH</v>
          </cell>
        </row>
        <row r="1277">
          <cell r="A1277">
            <v>634.04179999999997</v>
          </cell>
          <cell r="B1277" t="str">
            <v>Posts Wood 4x4-Inch x 18-FT</v>
          </cell>
          <cell r="C1277" t="str">
            <v>EACH</v>
          </cell>
        </row>
        <row r="1278">
          <cell r="A1278">
            <v>634.06119999999999</v>
          </cell>
          <cell r="B1278" t="str">
            <v>Posts Wood 4x6-Inch x 12-FT</v>
          </cell>
          <cell r="C1278" t="str">
            <v>EACH</v>
          </cell>
        </row>
        <row r="1279">
          <cell r="A1279">
            <v>634.06140000000005</v>
          </cell>
          <cell r="B1279" t="str">
            <v>Posts Wood 4x6-Inch x 14-FT</v>
          </cell>
          <cell r="C1279" t="str">
            <v>EACH</v>
          </cell>
        </row>
        <row r="1280">
          <cell r="A1280">
            <v>634.0616</v>
          </cell>
          <cell r="B1280" t="str">
            <v>Posts Wood 4x6-Inch x 16-FT</v>
          </cell>
          <cell r="C1280" t="str">
            <v>EACH</v>
          </cell>
        </row>
        <row r="1281">
          <cell r="A1281">
            <v>634.06179999999995</v>
          </cell>
          <cell r="B1281" t="str">
            <v>Posts Wood 4x6-Inch x 18-FT</v>
          </cell>
          <cell r="C1281" t="str">
            <v>EACH</v>
          </cell>
        </row>
        <row r="1282">
          <cell r="A1282">
            <v>634.06200000000001</v>
          </cell>
          <cell r="B1282" t="str">
            <v>Posts Wood 4x6-Inch x 20-FT</v>
          </cell>
          <cell r="C1282" t="str">
            <v>EACH</v>
          </cell>
        </row>
        <row r="1283">
          <cell r="A1283">
            <v>634.06219999999996</v>
          </cell>
          <cell r="B1283" t="str">
            <v>Posts Wood 4x6-Inch x 22-FT</v>
          </cell>
          <cell r="C1283" t="str">
            <v>EACH</v>
          </cell>
        </row>
        <row r="1284">
          <cell r="A1284">
            <v>634.08010000000002</v>
          </cell>
          <cell r="B1284" t="str">
            <v>Posts Tubular Steel 2x2-Inch x 1.5-FT</v>
          </cell>
          <cell r="C1284" t="str">
            <v>EACH</v>
          </cell>
        </row>
        <row r="1285">
          <cell r="A1285">
            <v>634.08029999999997</v>
          </cell>
          <cell r="B1285" t="str">
            <v>Posts Tubular Steel 2x2-Inch x 3-FT</v>
          </cell>
          <cell r="C1285" t="str">
            <v>EACH</v>
          </cell>
        </row>
        <row r="1286">
          <cell r="A1286">
            <v>634.08050000000003</v>
          </cell>
          <cell r="B1286" t="str">
            <v>Posts Tubular Steel 2x2-Inch x 5-FT</v>
          </cell>
          <cell r="C1286" t="str">
            <v>EACH</v>
          </cell>
        </row>
        <row r="1287">
          <cell r="A1287">
            <v>634.08079999999995</v>
          </cell>
          <cell r="B1287" t="str">
            <v>Posts Tubular Steel 2x2-Inch x 8-FT</v>
          </cell>
          <cell r="C1287" t="str">
            <v>EACH</v>
          </cell>
        </row>
        <row r="1288">
          <cell r="A1288">
            <v>634.08090000000004</v>
          </cell>
          <cell r="B1288" t="str">
            <v>Posts Tubular Steel 2x2-Inch x 9.5-FT</v>
          </cell>
          <cell r="C1288" t="str">
            <v>EACH</v>
          </cell>
        </row>
        <row r="1289">
          <cell r="A1289">
            <v>634.08100000000002</v>
          </cell>
          <cell r="B1289" t="str">
            <v>Posts Tubular Steel 2x2-Inch x 10-FT</v>
          </cell>
          <cell r="C1289" t="str">
            <v>EACH</v>
          </cell>
        </row>
        <row r="1290">
          <cell r="A1290">
            <v>634.08109999999999</v>
          </cell>
          <cell r="B1290" t="str">
            <v>Posts Tubular Steel 2x2-Inch x 11-FT</v>
          </cell>
          <cell r="C1290" t="str">
            <v>EACH</v>
          </cell>
        </row>
        <row r="1291">
          <cell r="A1291">
            <v>634.08119999999997</v>
          </cell>
          <cell r="B1291" t="str">
            <v>Posts Tubular Steel 2x2-Inch x 12-FT</v>
          </cell>
          <cell r="C1291" t="str">
            <v>EACH</v>
          </cell>
        </row>
        <row r="1292">
          <cell r="A1292">
            <v>634.08140000000003</v>
          </cell>
          <cell r="B1292" t="str">
            <v>Posts Tubular Steel 2x2-Inch x 14-FT</v>
          </cell>
          <cell r="C1292" t="str">
            <v>EACH</v>
          </cell>
        </row>
        <row r="1293">
          <cell r="A1293">
            <v>634.08159999999998</v>
          </cell>
          <cell r="B1293" t="str">
            <v>Posts Tubular Steel 2x2-Inch x 16-FT</v>
          </cell>
          <cell r="C1293" t="str">
            <v>EACH</v>
          </cell>
        </row>
        <row r="1294">
          <cell r="A1294">
            <v>634.08849999999995</v>
          </cell>
          <cell r="B1294" t="str">
            <v>Posts Tubular Steel 2x2-Inch x 8.5-FT</v>
          </cell>
          <cell r="C1294" t="str">
            <v>EACH</v>
          </cell>
        </row>
        <row r="1295">
          <cell r="A1295">
            <v>635.02</v>
          </cell>
          <cell r="B1295" t="str">
            <v>Sign Supports Structural Steel HS</v>
          </cell>
          <cell r="C1295" t="str">
            <v>LB</v>
          </cell>
        </row>
        <row r="1296">
          <cell r="A1296">
            <v>635.03</v>
          </cell>
          <cell r="B1296" t="str">
            <v>Sign Supports Replacing Base Connection Bolts</v>
          </cell>
          <cell r="C1296" t="str">
            <v>EACH</v>
          </cell>
        </row>
        <row r="1297">
          <cell r="A1297">
            <v>636.01</v>
          </cell>
          <cell r="B1297" t="str">
            <v>Sign Supports Concrete Masonry</v>
          </cell>
          <cell r="C1297" t="str">
            <v>CY</v>
          </cell>
        </row>
        <row r="1298">
          <cell r="A1298">
            <v>636.04999999999995</v>
          </cell>
          <cell r="B1298" t="str">
            <v>Sign Supports Steel Reinforcement</v>
          </cell>
          <cell r="C1298" t="str">
            <v>LB</v>
          </cell>
        </row>
        <row r="1299">
          <cell r="A1299">
            <v>636.1</v>
          </cell>
          <cell r="B1299" t="str">
            <v>Sign Supports Steel Reinforcement HS</v>
          </cell>
          <cell r="C1299" t="str">
            <v>LB</v>
          </cell>
        </row>
        <row r="1300">
          <cell r="A1300">
            <v>636.15</v>
          </cell>
          <cell r="B1300" t="str">
            <v>Sign Supports Steel Coated Reinforcement HS</v>
          </cell>
          <cell r="C1300" t="str">
            <v>LB</v>
          </cell>
        </row>
        <row r="1301">
          <cell r="A1301">
            <v>637.01009999999997</v>
          </cell>
          <cell r="B1301" t="str">
            <v>Signs Type I</v>
          </cell>
          <cell r="C1301" t="str">
            <v>SF</v>
          </cell>
        </row>
        <row r="1302">
          <cell r="A1302">
            <v>637.01030000000003</v>
          </cell>
          <cell r="B1302" t="str">
            <v>Signs Type III</v>
          </cell>
          <cell r="C1302" t="str">
            <v>SF</v>
          </cell>
        </row>
        <row r="1303">
          <cell r="A1303">
            <v>637.02020000000005</v>
          </cell>
          <cell r="B1303" t="str">
            <v>Signs Reflective Type II</v>
          </cell>
          <cell r="C1303" t="str">
            <v>SF</v>
          </cell>
        </row>
        <row r="1304">
          <cell r="A1304">
            <v>637.03020000000004</v>
          </cell>
          <cell r="B1304" t="str">
            <v>Signs Non Reflective Type II</v>
          </cell>
          <cell r="C1304" t="str">
            <v>SF</v>
          </cell>
        </row>
        <row r="1305">
          <cell r="A1305">
            <v>637.04020000000003</v>
          </cell>
          <cell r="B1305" t="str">
            <v>Signs Reflective Folding Type II</v>
          </cell>
          <cell r="C1305" t="str">
            <v>SF</v>
          </cell>
        </row>
        <row r="1306">
          <cell r="A1306">
            <v>637.05020000000002</v>
          </cell>
          <cell r="B1306" t="str">
            <v>Signs Non-Reflective Folding Type II</v>
          </cell>
          <cell r="C1306" t="str">
            <v>SF</v>
          </cell>
        </row>
        <row r="1307">
          <cell r="A1307">
            <v>638.21010000000001</v>
          </cell>
          <cell r="B1307" t="str">
            <v>Moving Signs Type I</v>
          </cell>
          <cell r="C1307" t="str">
            <v>EACH</v>
          </cell>
        </row>
        <row r="1308">
          <cell r="A1308">
            <v>638.21019999999999</v>
          </cell>
          <cell r="B1308" t="str">
            <v>Moving Signs Type II</v>
          </cell>
          <cell r="C1308" t="str">
            <v>EACH</v>
          </cell>
        </row>
        <row r="1309">
          <cell r="A1309">
            <v>638.21029999999996</v>
          </cell>
          <cell r="B1309" t="str">
            <v>Moving Signs Type III</v>
          </cell>
          <cell r="C1309" t="str">
            <v>EACH</v>
          </cell>
        </row>
        <row r="1310">
          <cell r="A1310">
            <v>638.26009999999997</v>
          </cell>
          <cell r="B1310" t="str">
            <v>Removing Signs Type I</v>
          </cell>
          <cell r="C1310" t="str">
            <v>EACH</v>
          </cell>
        </row>
        <row r="1311">
          <cell r="A1311">
            <v>638.26020000000005</v>
          </cell>
          <cell r="B1311" t="str">
            <v>Removing Signs Type II</v>
          </cell>
          <cell r="C1311" t="str">
            <v>EACH</v>
          </cell>
        </row>
        <row r="1312">
          <cell r="A1312">
            <v>638.26030000000003</v>
          </cell>
          <cell r="B1312" t="str">
            <v>Removing Signs Type III</v>
          </cell>
          <cell r="C1312" t="str">
            <v>EACH</v>
          </cell>
        </row>
        <row r="1313">
          <cell r="A1313">
            <v>638.29999999999995</v>
          </cell>
          <cell r="B1313" t="str">
            <v>Removing Small Sign Supports</v>
          </cell>
          <cell r="C1313" t="str">
            <v>EACH</v>
          </cell>
        </row>
        <row r="1314">
          <cell r="A1314">
            <v>638.30999999999995</v>
          </cell>
          <cell r="B1314" t="str">
            <v>Removing Structural Steel Sign Supports</v>
          </cell>
          <cell r="C1314" t="str">
            <v>EACH</v>
          </cell>
        </row>
        <row r="1315">
          <cell r="A1315">
            <v>638.32100000000003</v>
          </cell>
          <cell r="B1315" t="str">
            <v>Revising Signs Type I</v>
          </cell>
          <cell r="C1315" t="str">
            <v>EACH</v>
          </cell>
        </row>
        <row r="1316">
          <cell r="A1316">
            <v>638.32299999999998</v>
          </cell>
          <cell r="B1316" t="str">
            <v>Revising Signs Type III</v>
          </cell>
          <cell r="C1316" t="str">
            <v>EACH</v>
          </cell>
        </row>
        <row r="1317">
          <cell r="A1317">
            <v>638.36099999999999</v>
          </cell>
          <cell r="B1317" t="str">
            <v>Erecting State Owned Signs Type I</v>
          </cell>
          <cell r="C1317" t="str">
            <v>EACH</v>
          </cell>
        </row>
        <row r="1318">
          <cell r="A1318">
            <v>638.36199999999997</v>
          </cell>
          <cell r="B1318" t="str">
            <v>Erecting State Owned Signs Type II</v>
          </cell>
          <cell r="C1318" t="str">
            <v>EACH</v>
          </cell>
        </row>
        <row r="1319">
          <cell r="A1319">
            <v>638.36300000000006</v>
          </cell>
          <cell r="B1319" t="str">
            <v>Erecting State Owned Signs Type III</v>
          </cell>
          <cell r="C1319" t="str">
            <v>EACH</v>
          </cell>
        </row>
        <row r="1320">
          <cell r="A1320">
            <v>638.4</v>
          </cell>
          <cell r="B1320" t="str">
            <v>Moving Small Sign Supports</v>
          </cell>
          <cell r="C1320" t="str">
            <v>EACH</v>
          </cell>
        </row>
        <row r="1321">
          <cell r="A1321">
            <v>638.41</v>
          </cell>
          <cell r="B1321" t="str">
            <v>Moving Structural Steel Sign Supports</v>
          </cell>
          <cell r="C1321" t="str">
            <v>EACH</v>
          </cell>
        </row>
        <row r="1322">
          <cell r="A1322">
            <v>639.01059999999995</v>
          </cell>
          <cell r="B1322" t="str">
            <v>Drill Hole in Earth 6-Inch</v>
          </cell>
          <cell r="C1322" t="str">
            <v>LF</v>
          </cell>
        </row>
        <row r="1323">
          <cell r="A1323">
            <v>639.01080000000002</v>
          </cell>
          <cell r="B1323" t="str">
            <v>Drill Hole in Earth 8-Inch</v>
          </cell>
          <cell r="C1323" t="str">
            <v>LF</v>
          </cell>
        </row>
        <row r="1324">
          <cell r="A1324">
            <v>639.01099999999997</v>
          </cell>
          <cell r="B1324" t="str">
            <v>Drill Hole in Earth 10-Inch</v>
          </cell>
          <cell r="C1324" t="str">
            <v>LF</v>
          </cell>
        </row>
        <row r="1325">
          <cell r="A1325">
            <v>639.01120000000003</v>
          </cell>
          <cell r="B1325" t="str">
            <v>Drill Hole in Earth 12-Inch</v>
          </cell>
          <cell r="C1325" t="str">
            <v>LF</v>
          </cell>
        </row>
        <row r="1326">
          <cell r="A1326">
            <v>639.05039999999997</v>
          </cell>
          <cell r="B1326" t="str">
            <v>Drill Hole in Rock 4-Inch</v>
          </cell>
          <cell r="C1326" t="str">
            <v>LF</v>
          </cell>
        </row>
        <row r="1327">
          <cell r="A1327">
            <v>639.05060000000003</v>
          </cell>
          <cell r="B1327" t="str">
            <v>Drill Hole in Rock 6-Inch</v>
          </cell>
          <cell r="C1327" t="str">
            <v>LF</v>
          </cell>
        </row>
        <row r="1328">
          <cell r="A1328">
            <v>639.05079999999998</v>
          </cell>
          <cell r="B1328" t="str">
            <v>Drill Hole in Rock 8-Inch</v>
          </cell>
          <cell r="C1328" t="str">
            <v>LF</v>
          </cell>
        </row>
        <row r="1329">
          <cell r="A1329">
            <v>639.05100000000004</v>
          </cell>
          <cell r="B1329" t="str">
            <v>Drill Hole in Rock 10-Inch</v>
          </cell>
          <cell r="C1329" t="str">
            <v>LF</v>
          </cell>
        </row>
        <row r="1330">
          <cell r="A1330">
            <v>639.05119999999999</v>
          </cell>
          <cell r="B1330" t="str">
            <v>Drill Hole in Rock 12-Inch</v>
          </cell>
          <cell r="C1330" t="str">
            <v>LF</v>
          </cell>
        </row>
        <row r="1331">
          <cell r="A1331">
            <v>639.10040000000004</v>
          </cell>
          <cell r="B1331" t="str">
            <v>Well Casing Pipe 4-Inch</v>
          </cell>
          <cell r="C1331" t="str">
            <v>LF</v>
          </cell>
        </row>
        <row r="1332">
          <cell r="A1332">
            <v>639.10059999999999</v>
          </cell>
          <cell r="B1332" t="str">
            <v>Well Casing Pipe 6-Inch</v>
          </cell>
          <cell r="C1332" t="str">
            <v>LF</v>
          </cell>
        </row>
        <row r="1333">
          <cell r="A1333">
            <v>639.10080000000005</v>
          </cell>
          <cell r="B1333" t="str">
            <v>Well Casing Pipe 8-Inch</v>
          </cell>
          <cell r="C1333" t="str">
            <v>LF</v>
          </cell>
        </row>
        <row r="1334">
          <cell r="A1334">
            <v>639.101</v>
          </cell>
          <cell r="B1334" t="str">
            <v>Well Casing Pipe 10-Inch</v>
          </cell>
          <cell r="C1334" t="str">
            <v>LF</v>
          </cell>
        </row>
        <row r="1335">
          <cell r="A1335">
            <v>639.10119999999995</v>
          </cell>
          <cell r="B1335" t="str">
            <v>Well Casing Pipe 12-Inch</v>
          </cell>
          <cell r="C1335" t="str">
            <v>LF</v>
          </cell>
        </row>
        <row r="1336">
          <cell r="A1336">
            <v>639.16999999999996</v>
          </cell>
          <cell r="B1336" t="str">
            <v>Well Screen</v>
          </cell>
          <cell r="C1336" t="str">
            <v>LF</v>
          </cell>
        </row>
        <row r="1337">
          <cell r="A1337">
            <v>639.21</v>
          </cell>
          <cell r="B1337" t="str">
            <v>Grout for Sealing Well Casing</v>
          </cell>
          <cell r="C1337" t="str">
            <v>CF</v>
          </cell>
        </row>
        <row r="1338">
          <cell r="A1338">
            <v>639.25</v>
          </cell>
          <cell r="B1338" t="str">
            <v>Pump and Well Platform</v>
          </cell>
          <cell r="C1338" t="str">
            <v>EACH</v>
          </cell>
        </row>
        <row r="1339">
          <cell r="A1339">
            <v>639.29999999999995</v>
          </cell>
          <cell r="B1339" t="str">
            <v>Wayside Well Shelter</v>
          </cell>
          <cell r="C1339" t="str">
            <v>EACH</v>
          </cell>
        </row>
        <row r="1340">
          <cell r="A1340">
            <v>639.4</v>
          </cell>
          <cell r="B1340" t="str">
            <v>Test Pumping</v>
          </cell>
          <cell r="C1340" t="str">
            <v>EACH</v>
          </cell>
        </row>
        <row r="1341">
          <cell r="A1341">
            <v>641.01</v>
          </cell>
          <cell r="B1341" t="str">
            <v>Sign Bridge Single Pole Sign Support One Sign (structure)</v>
          </cell>
          <cell r="C1341" t="str">
            <v>LS</v>
          </cell>
        </row>
        <row r="1342">
          <cell r="A1342">
            <v>641.05999999999995</v>
          </cell>
          <cell r="B1342" t="str">
            <v>Sign Bridge Single Pole Sign Support Two Signs (structure)</v>
          </cell>
          <cell r="C1342" t="str">
            <v>LS</v>
          </cell>
        </row>
        <row r="1343">
          <cell r="A1343">
            <v>641.12</v>
          </cell>
          <cell r="B1343" t="str">
            <v>Sign Bridge Cantilevered (structure)</v>
          </cell>
          <cell r="C1343" t="str">
            <v>LS</v>
          </cell>
        </row>
        <row r="1344">
          <cell r="A1344">
            <v>641.51</v>
          </cell>
          <cell r="B1344" t="str">
            <v>Sign Bridge Structure Mounted (structure)</v>
          </cell>
          <cell r="C1344" t="str">
            <v>LS</v>
          </cell>
        </row>
        <row r="1345">
          <cell r="A1345">
            <v>641.66</v>
          </cell>
          <cell r="B1345" t="str">
            <v>Sign Bridge (structure)</v>
          </cell>
          <cell r="C1345" t="str">
            <v>LS</v>
          </cell>
        </row>
        <row r="1346">
          <cell r="A1346">
            <v>641.80999999999995</v>
          </cell>
          <cell r="B1346" t="str">
            <v>Overhead Sign Support (structure)</v>
          </cell>
          <cell r="C1346" t="str">
            <v>LS</v>
          </cell>
        </row>
        <row r="1347">
          <cell r="A1347">
            <v>642.50009999999997</v>
          </cell>
          <cell r="B1347" t="str">
            <v>Field Office Type B</v>
          </cell>
          <cell r="C1347" t="str">
            <v>EACH</v>
          </cell>
        </row>
        <row r="1348">
          <cell r="A1348">
            <v>642.52009999999996</v>
          </cell>
          <cell r="B1348" t="str">
            <v>Field Office Type C</v>
          </cell>
          <cell r="C1348" t="str">
            <v>EACH</v>
          </cell>
        </row>
        <row r="1349">
          <cell r="A1349">
            <v>642.54010000000005</v>
          </cell>
          <cell r="B1349" t="str">
            <v>Field Office Type D</v>
          </cell>
          <cell r="C1349" t="str">
            <v>EACH</v>
          </cell>
        </row>
        <row r="1350">
          <cell r="A1350">
            <v>642.6001</v>
          </cell>
          <cell r="B1350" t="str">
            <v>Field Laboratory</v>
          </cell>
          <cell r="C1350" t="str">
            <v>EACH</v>
          </cell>
        </row>
        <row r="1351">
          <cell r="A1351">
            <v>643.01</v>
          </cell>
          <cell r="B1351" t="str">
            <v>Traffic Control (project)</v>
          </cell>
          <cell r="C1351" t="str">
            <v>EACH</v>
          </cell>
        </row>
        <row r="1352">
          <cell r="A1352">
            <v>643.02</v>
          </cell>
          <cell r="B1352" t="str">
            <v>Traffic Control Surveillance and Maintenance (project)</v>
          </cell>
          <cell r="C1352" t="str">
            <v>DAYS</v>
          </cell>
        </row>
        <row r="1353">
          <cell r="A1353">
            <v>643.03</v>
          </cell>
          <cell r="B1353" t="str">
            <v>Traffic Control Drums</v>
          </cell>
          <cell r="C1353" t="str">
            <v>DAYS</v>
          </cell>
        </row>
        <row r="1354">
          <cell r="A1354">
            <v>643.04049999999995</v>
          </cell>
          <cell r="B1354" t="str">
            <v>Traffic Control Barricades Type I</v>
          </cell>
          <cell r="C1354" t="str">
            <v>DAYS</v>
          </cell>
        </row>
        <row r="1355">
          <cell r="A1355">
            <v>643.04100000000005</v>
          </cell>
          <cell r="B1355" t="str">
            <v>Traffic Control Barricades Type II</v>
          </cell>
          <cell r="C1355" t="str">
            <v>DAYS</v>
          </cell>
        </row>
        <row r="1356">
          <cell r="A1356">
            <v>643.04200000000003</v>
          </cell>
          <cell r="B1356" t="str">
            <v>Traffic Control Barricades Type III</v>
          </cell>
          <cell r="C1356" t="str">
            <v>DAYS</v>
          </cell>
        </row>
        <row r="1357">
          <cell r="A1357">
            <v>643.0453</v>
          </cell>
          <cell r="B1357" t="str">
            <v>Traffic Control Barricades Permanent Type III</v>
          </cell>
          <cell r="C1357" t="str">
            <v>EACH</v>
          </cell>
        </row>
        <row r="1358">
          <cell r="A1358">
            <v>643.04999999999995</v>
          </cell>
          <cell r="B1358" t="str">
            <v>Traffic Control Flexible Tubular Marker Posts</v>
          </cell>
          <cell r="C1358" t="str">
            <v>EACH</v>
          </cell>
        </row>
        <row r="1359">
          <cell r="A1359">
            <v>643.05999999999995</v>
          </cell>
          <cell r="B1359" t="str">
            <v>Traffic Control Flexible Tubular Marker Bases</v>
          </cell>
          <cell r="C1359" t="str">
            <v>EACH</v>
          </cell>
        </row>
        <row r="1360">
          <cell r="A1360">
            <v>643.07050000000004</v>
          </cell>
          <cell r="B1360" t="str">
            <v>Traffic Control Warning Lights Type A</v>
          </cell>
          <cell r="C1360" t="str">
            <v>DAYS</v>
          </cell>
        </row>
        <row r="1361">
          <cell r="A1361">
            <v>643.07100000000003</v>
          </cell>
          <cell r="B1361" t="str">
            <v>Traffic Control Warning Lights Type B</v>
          </cell>
          <cell r="C1361" t="str">
            <v>DAYS</v>
          </cell>
        </row>
        <row r="1362">
          <cell r="A1362">
            <v>643.07150000000001</v>
          </cell>
          <cell r="B1362" t="str">
            <v>Traffic Control Warning Lights Type C</v>
          </cell>
          <cell r="C1362" t="str">
            <v>DAYS</v>
          </cell>
        </row>
        <row r="1363">
          <cell r="A1363">
            <v>643.08000000000004</v>
          </cell>
          <cell r="B1363" t="str">
            <v>Traffic Control Arrow Boards</v>
          </cell>
          <cell r="C1363" t="str">
            <v>DAYS</v>
          </cell>
        </row>
        <row r="1364">
          <cell r="A1364">
            <v>643.09</v>
          </cell>
          <cell r="B1364" t="str">
            <v>Traffic Control Signs</v>
          </cell>
          <cell r="C1364" t="str">
            <v>DAYS</v>
          </cell>
        </row>
        <row r="1365">
          <cell r="A1365">
            <v>643.1</v>
          </cell>
          <cell r="B1365" t="str">
            <v>Traffic Control Signs Fixed Message</v>
          </cell>
          <cell r="C1365" t="str">
            <v>SF</v>
          </cell>
        </row>
        <row r="1366">
          <cell r="A1366">
            <v>643.20000000000005</v>
          </cell>
          <cell r="B1366" t="str">
            <v>Traffic Control Detour (project)</v>
          </cell>
          <cell r="C1366" t="str">
            <v>EACH</v>
          </cell>
        </row>
        <row r="1367">
          <cell r="A1367">
            <v>643.29999999999995</v>
          </cell>
          <cell r="B1367" t="str">
            <v>Traffic Control Detour Signs</v>
          </cell>
          <cell r="C1367" t="str">
            <v>DAYS</v>
          </cell>
        </row>
        <row r="1368">
          <cell r="A1368">
            <v>645.01049999999998</v>
          </cell>
          <cell r="B1368" t="str">
            <v>Geotextile Fabric Type C</v>
          </cell>
          <cell r="C1368" t="str">
            <v>SY</v>
          </cell>
        </row>
        <row r="1369">
          <cell r="A1369">
            <v>645.01110000000006</v>
          </cell>
          <cell r="B1369" t="str">
            <v>Geotextile Fabric Type DF Schedule A</v>
          </cell>
          <cell r="C1369" t="str">
            <v>SY</v>
          </cell>
        </row>
        <row r="1370">
          <cell r="A1370">
            <v>645.01120000000003</v>
          </cell>
          <cell r="B1370" t="str">
            <v>Geotextile Fabric Type DF Schedule B</v>
          </cell>
          <cell r="C1370" t="str">
            <v>SY</v>
          </cell>
        </row>
        <row r="1371">
          <cell r="A1371">
            <v>645.01130000000001</v>
          </cell>
          <cell r="B1371" t="str">
            <v>Geotextile Fabric Type DF Schedule C</v>
          </cell>
          <cell r="C1371" t="str">
            <v>SY</v>
          </cell>
        </row>
        <row r="1372">
          <cell r="A1372">
            <v>645.01149999999996</v>
          </cell>
          <cell r="B1372" t="str">
            <v>Geotextile Fabric Type ES</v>
          </cell>
          <cell r="C1372" t="str">
            <v>SY</v>
          </cell>
        </row>
        <row r="1373">
          <cell r="A1373">
            <v>645.01199999999994</v>
          </cell>
          <cell r="B1373" t="str">
            <v>Geotextile Fabric Type HR</v>
          </cell>
          <cell r="C1373" t="str">
            <v>SY</v>
          </cell>
        </row>
        <row r="1374">
          <cell r="A1374">
            <v>645.01250000000005</v>
          </cell>
          <cell r="B1374" t="str">
            <v>Geotextile Fabric Type MS</v>
          </cell>
          <cell r="C1374" t="str">
            <v>SY</v>
          </cell>
        </row>
        <row r="1375">
          <cell r="A1375">
            <v>645.01300000000003</v>
          </cell>
          <cell r="B1375" t="str">
            <v>Geotextile Fabric Type R</v>
          </cell>
          <cell r="C1375" t="str">
            <v>SY</v>
          </cell>
        </row>
        <row r="1376">
          <cell r="A1376">
            <v>645.01350000000002</v>
          </cell>
          <cell r="B1376" t="str">
            <v>Geotextile Fabric Type SR</v>
          </cell>
          <cell r="C1376" t="str">
            <v>SY</v>
          </cell>
        </row>
        <row r="1377">
          <cell r="A1377">
            <v>645.01400000000001</v>
          </cell>
          <cell r="B1377" t="str">
            <v>Geotextile Fabric Type SAS</v>
          </cell>
          <cell r="C1377" t="str">
            <v>SY</v>
          </cell>
        </row>
        <row r="1378">
          <cell r="A1378">
            <v>646.01030000000003</v>
          </cell>
          <cell r="B1378" t="str">
            <v>Pavement Marking Paint 4-Inch</v>
          </cell>
          <cell r="C1378" t="str">
            <v>LF</v>
          </cell>
        </row>
        <row r="1379">
          <cell r="A1379">
            <v>646.01059999999995</v>
          </cell>
          <cell r="B1379" t="str">
            <v>Pavement Marking Epoxy 4-Inch</v>
          </cell>
          <cell r="C1379" t="str">
            <v>LF</v>
          </cell>
        </row>
        <row r="1380">
          <cell r="A1380">
            <v>646.01089999999999</v>
          </cell>
          <cell r="B1380" t="str">
            <v>Pavement Marking Preformed Plastic 4-Inch</v>
          </cell>
          <cell r="C1380" t="str">
            <v>LF</v>
          </cell>
        </row>
        <row r="1381">
          <cell r="A1381">
            <v>646.01130000000001</v>
          </cell>
          <cell r="B1381" t="str">
            <v>Pavement Marking Paint 6-Inch</v>
          </cell>
          <cell r="C1381" t="str">
            <v>LF</v>
          </cell>
        </row>
        <row r="1382">
          <cell r="A1382">
            <v>646.01160000000004</v>
          </cell>
          <cell r="B1382" t="str">
            <v>Pavement Marking Epoxy 6-Inch</v>
          </cell>
          <cell r="C1382" t="str">
            <v>LF</v>
          </cell>
        </row>
        <row r="1383">
          <cell r="A1383">
            <v>646.01189999999997</v>
          </cell>
          <cell r="B1383" t="str">
            <v>Pavement Marking Preformed Plastic 6-Inch</v>
          </cell>
          <cell r="C1383" t="str">
            <v>LF</v>
          </cell>
        </row>
        <row r="1384">
          <cell r="A1384">
            <v>646.01229999999998</v>
          </cell>
          <cell r="B1384" t="str">
            <v>Pavement Marking Paint 8-Inch</v>
          </cell>
          <cell r="C1384" t="str">
            <v>LF</v>
          </cell>
        </row>
        <row r="1385">
          <cell r="A1385">
            <v>646.01260000000002</v>
          </cell>
          <cell r="B1385" t="str">
            <v>Pavement Marking Epoxy 8-Inch</v>
          </cell>
          <cell r="C1385" t="str">
            <v>LF</v>
          </cell>
        </row>
        <row r="1386">
          <cell r="A1386">
            <v>646.01279999999997</v>
          </cell>
          <cell r="B1386" t="str">
            <v>Pavement Marking Preformed Thermoplastic 8-Inch</v>
          </cell>
          <cell r="C1386" t="str">
            <v>LF</v>
          </cell>
        </row>
        <row r="1387">
          <cell r="A1387">
            <v>646.01289999999995</v>
          </cell>
          <cell r="B1387" t="str">
            <v>Pavement Marking Preformed Plastic 8-Inch</v>
          </cell>
          <cell r="C1387" t="str">
            <v>LF</v>
          </cell>
        </row>
        <row r="1388">
          <cell r="A1388">
            <v>646.01329999999996</v>
          </cell>
          <cell r="B1388" t="str">
            <v>Pavement Marking Paint 12-Inch</v>
          </cell>
          <cell r="C1388" t="str">
            <v>LF</v>
          </cell>
        </row>
        <row r="1389">
          <cell r="A1389">
            <v>646.0136</v>
          </cell>
          <cell r="B1389" t="str">
            <v>Pavement Marking Epoxy 12-Inch</v>
          </cell>
          <cell r="C1389" t="str">
            <v>LF</v>
          </cell>
        </row>
        <row r="1390">
          <cell r="A1390">
            <v>646.01379999999995</v>
          </cell>
          <cell r="B1390" t="str">
            <v>Pavement Marking Preformed Thermoplastic 12-Inch</v>
          </cell>
          <cell r="C1390" t="str">
            <v>LF</v>
          </cell>
        </row>
        <row r="1391">
          <cell r="A1391">
            <v>646.01390000000004</v>
          </cell>
          <cell r="B1391" t="str">
            <v>Pavement Marking Preformed Plastic 12-Inch</v>
          </cell>
          <cell r="C1391" t="str">
            <v>LF</v>
          </cell>
        </row>
        <row r="1392">
          <cell r="A1392">
            <v>646.01430000000005</v>
          </cell>
          <cell r="B1392" t="str">
            <v>Pavement Marking Paint 16-Inch</v>
          </cell>
          <cell r="C1392" t="str">
            <v>LF</v>
          </cell>
        </row>
        <row r="1393">
          <cell r="A1393">
            <v>646.01459999999997</v>
          </cell>
          <cell r="B1393" t="str">
            <v>Pavement Marking Epoxy 16-Inch</v>
          </cell>
          <cell r="C1393" t="str">
            <v>LF</v>
          </cell>
        </row>
        <row r="1394">
          <cell r="A1394">
            <v>646.01480000000004</v>
          </cell>
          <cell r="B1394" t="str">
            <v>Pavement Marking Preformed Thermoplastic 16-Inch</v>
          </cell>
          <cell r="C1394" t="str">
            <v>LF</v>
          </cell>
        </row>
        <row r="1395">
          <cell r="A1395">
            <v>646.01490000000001</v>
          </cell>
          <cell r="B1395" t="str">
            <v>Pavement Marking Preformed Plastic 16-Inch</v>
          </cell>
          <cell r="C1395" t="str">
            <v>LF</v>
          </cell>
        </row>
        <row r="1396">
          <cell r="A1396">
            <v>646.01530000000002</v>
          </cell>
          <cell r="B1396" t="str">
            <v>Pavement Marking Paint 18-Inch</v>
          </cell>
          <cell r="C1396" t="str">
            <v>LF</v>
          </cell>
        </row>
        <row r="1397">
          <cell r="A1397">
            <v>646.01559999999995</v>
          </cell>
          <cell r="B1397" t="str">
            <v>Pavement Marking Epoxy 18-Inch</v>
          </cell>
          <cell r="C1397" t="str">
            <v>LF</v>
          </cell>
        </row>
        <row r="1398">
          <cell r="A1398">
            <v>646.01580000000001</v>
          </cell>
          <cell r="B1398" t="str">
            <v>Pavement Marking Preformed Thermoplastic 18-Inch</v>
          </cell>
          <cell r="C1398" t="str">
            <v>LF</v>
          </cell>
        </row>
        <row r="1399">
          <cell r="A1399">
            <v>646.01589999999999</v>
          </cell>
          <cell r="B1399" t="str">
            <v>Pavement Marking Preformed Plastic 18-Inch</v>
          </cell>
          <cell r="C1399" t="str">
            <v>LF</v>
          </cell>
        </row>
        <row r="1400">
          <cell r="A1400">
            <v>646.04060000000004</v>
          </cell>
          <cell r="B1400" t="str">
            <v>Pavement Marking Same Day Epoxy 4-Inch</v>
          </cell>
          <cell r="C1400" t="str">
            <v>LF</v>
          </cell>
        </row>
        <row r="1401">
          <cell r="A1401">
            <v>646.05999999999995</v>
          </cell>
          <cell r="B1401" t="str">
            <v>Removing Pavement Markings</v>
          </cell>
          <cell r="C1401" t="str">
            <v>LF</v>
          </cell>
        </row>
        <row r="1402">
          <cell r="A1402">
            <v>647.01049999999998</v>
          </cell>
          <cell r="B1402" t="str">
            <v>Pavement Marking Railroad Crossings Paint</v>
          </cell>
          <cell r="C1402" t="str">
            <v>EACH</v>
          </cell>
        </row>
        <row r="1403">
          <cell r="A1403">
            <v>647.01099999999997</v>
          </cell>
          <cell r="B1403" t="str">
            <v>Pavement Marking Railroad Crossings Epoxy</v>
          </cell>
          <cell r="C1403" t="str">
            <v>EACH</v>
          </cell>
        </row>
        <row r="1404">
          <cell r="A1404">
            <v>647.01149999999996</v>
          </cell>
          <cell r="B1404" t="str">
            <v>Pavement Marking Railroad Crossings Preformed Plastic</v>
          </cell>
          <cell r="C1404" t="str">
            <v>EACH</v>
          </cell>
        </row>
        <row r="1405">
          <cell r="A1405">
            <v>647.01179999999999</v>
          </cell>
          <cell r="B1405" t="str">
            <v>Pavement Marking Railroad Crossings Preformed Thermoplastic</v>
          </cell>
          <cell r="C1405" t="str">
            <v>EACH</v>
          </cell>
        </row>
        <row r="1406">
          <cell r="A1406">
            <v>647.01300000000003</v>
          </cell>
          <cell r="B1406" t="str">
            <v>Pavement Marking Arrows Epoxy Type 7R</v>
          </cell>
          <cell r="C1406" t="str">
            <v>EACH</v>
          </cell>
        </row>
        <row r="1407">
          <cell r="A1407">
            <v>647.01310000000001</v>
          </cell>
          <cell r="B1407" t="str">
            <v>Pavement Marking Arrows Preformed Thermoplastic Type 7R</v>
          </cell>
          <cell r="C1407" t="str">
            <v>EACH</v>
          </cell>
        </row>
        <row r="1408">
          <cell r="A1408">
            <v>647.01319999999998</v>
          </cell>
          <cell r="B1408" t="str">
            <v>Pavement Marking Arrows Preformed Plastic Type 7R</v>
          </cell>
          <cell r="C1408" t="str">
            <v>EACH</v>
          </cell>
        </row>
        <row r="1409">
          <cell r="A1409">
            <v>647.0136</v>
          </cell>
          <cell r="B1409" t="str">
            <v>Pavement Marking Arrows Epoxy Type 7</v>
          </cell>
          <cell r="C1409" t="str">
            <v>EACH</v>
          </cell>
        </row>
        <row r="1410">
          <cell r="A1410">
            <v>647.01379999999995</v>
          </cell>
          <cell r="B1410" t="str">
            <v>Pavement Marking Arrows Preformed Thermoplastic Type 7</v>
          </cell>
          <cell r="C1410" t="str">
            <v>EACH</v>
          </cell>
        </row>
        <row r="1411">
          <cell r="A1411">
            <v>647.01390000000004</v>
          </cell>
          <cell r="B1411" t="str">
            <v>Pavement Marking Arrows Preformed Plastic Type 7</v>
          </cell>
          <cell r="C1411" t="str">
            <v>EACH</v>
          </cell>
        </row>
        <row r="1412">
          <cell r="A1412">
            <v>647.01400000000001</v>
          </cell>
          <cell r="B1412" t="str">
            <v>Pavement Marking Arrows Epoxy Type 6R</v>
          </cell>
          <cell r="C1412" t="str">
            <v>EACH</v>
          </cell>
        </row>
        <row r="1413">
          <cell r="A1413">
            <v>647.01409999999998</v>
          </cell>
          <cell r="B1413" t="str">
            <v>Pavement Marking Arrows Preformed Thermoplastic Type 6R</v>
          </cell>
          <cell r="C1413" t="str">
            <v>EACH</v>
          </cell>
        </row>
        <row r="1414">
          <cell r="A1414">
            <v>647.01419999999996</v>
          </cell>
          <cell r="B1414" t="str">
            <v>Pavement Marking Arrows Preformed Plastic Type 6R</v>
          </cell>
          <cell r="C1414" t="str">
            <v>EACH</v>
          </cell>
        </row>
        <row r="1415">
          <cell r="A1415">
            <v>647.01459999999997</v>
          </cell>
          <cell r="B1415" t="str">
            <v>Pavement Marking Arrows Epoxy Type 6</v>
          </cell>
          <cell r="C1415" t="str">
            <v>EACH</v>
          </cell>
        </row>
        <row r="1416">
          <cell r="A1416">
            <v>647.01480000000004</v>
          </cell>
          <cell r="B1416" t="str">
            <v>Pavement Marking Arrows Preformed Thermoplastic Type 6</v>
          </cell>
          <cell r="C1416" t="str">
            <v>EACH</v>
          </cell>
        </row>
        <row r="1417">
          <cell r="A1417">
            <v>647.01490000000001</v>
          </cell>
          <cell r="B1417" t="str">
            <v>Pavement Marking Arrows Preformed Plastic Type 6</v>
          </cell>
          <cell r="C1417" t="str">
            <v>EACH</v>
          </cell>
        </row>
        <row r="1418">
          <cell r="A1418">
            <v>647.01530000000002</v>
          </cell>
          <cell r="B1418" t="str">
            <v>Pavement Marking Arrows Paint Type 1</v>
          </cell>
          <cell r="C1418" t="str">
            <v>EACH</v>
          </cell>
        </row>
        <row r="1419">
          <cell r="A1419">
            <v>647.01559999999995</v>
          </cell>
          <cell r="B1419" t="str">
            <v>Pavement Marking Arrows Epoxy Type 1</v>
          </cell>
          <cell r="C1419" t="str">
            <v>EACH</v>
          </cell>
        </row>
        <row r="1420">
          <cell r="A1420">
            <v>647.01580000000001</v>
          </cell>
          <cell r="B1420" t="str">
            <v>Pavement Marking Arrows Preformed Thermoplastic Type 1</v>
          </cell>
          <cell r="C1420" t="str">
            <v>EACH</v>
          </cell>
        </row>
        <row r="1421">
          <cell r="A1421">
            <v>647.01589999999999</v>
          </cell>
          <cell r="B1421" t="str">
            <v>Pavement Marking Arrows Preformed Plastic Type 1</v>
          </cell>
          <cell r="C1421" t="str">
            <v>EACH</v>
          </cell>
        </row>
        <row r="1422">
          <cell r="A1422">
            <v>647.01599999999996</v>
          </cell>
          <cell r="B1422" t="str">
            <v>Pavement Marking Arrows Epoxy Type 2R</v>
          </cell>
          <cell r="C1422" t="str">
            <v>EACH</v>
          </cell>
        </row>
        <row r="1423">
          <cell r="A1423">
            <v>647.01610000000005</v>
          </cell>
          <cell r="B1423" t="str">
            <v>Pavement Marking Arrows Preformed Thermoplastic Type 2R</v>
          </cell>
          <cell r="C1423" t="str">
            <v>EACH</v>
          </cell>
        </row>
        <row r="1424">
          <cell r="A1424">
            <v>647.01620000000003</v>
          </cell>
          <cell r="B1424" t="str">
            <v>Pavement Marking Arrows Preformed Plastic Type 2R</v>
          </cell>
          <cell r="C1424" t="str">
            <v>EACH</v>
          </cell>
        </row>
        <row r="1425">
          <cell r="A1425">
            <v>647.0163</v>
          </cell>
          <cell r="B1425" t="str">
            <v>Pavement Marking Arrows Paint Type 2</v>
          </cell>
          <cell r="C1425" t="str">
            <v>EACH</v>
          </cell>
        </row>
        <row r="1426">
          <cell r="A1426">
            <v>647.01660000000004</v>
          </cell>
          <cell r="B1426" t="str">
            <v>Pavement Marking Arrows Epoxy Type 2</v>
          </cell>
          <cell r="C1426" t="str">
            <v>EACH</v>
          </cell>
        </row>
        <row r="1427">
          <cell r="A1427">
            <v>647.01679999999999</v>
          </cell>
          <cell r="B1427" t="str">
            <v>Pavement Marking Arrows Preformed Thermoplastic Type 2</v>
          </cell>
          <cell r="C1427" t="str">
            <v>EACH</v>
          </cell>
        </row>
        <row r="1428">
          <cell r="A1428">
            <v>647.01689999999996</v>
          </cell>
          <cell r="B1428" t="str">
            <v>Pavement Marking Arrows Preformed Plastic Type 2</v>
          </cell>
          <cell r="C1428" t="str">
            <v>EACH</v>
          </cell>
        </row>
        <row r="1429">
          <cell r="A1429">
            <v>647.01700000000005</v>
          </cell>
          <cell r="B1429" t="str">
            <v>Pavement Marking Arrows Epoxy Type 3R</v>
          </cell>
          <cell r="C1429" t="str">
            <v>EACH</v>
          </cell>
        </row>
        <row r="1430">
          <cell r="A1430">
            <v>647.01710000000003</v>
          </cell>
          <cell r="B1430" t="str">
            <v>Pavement Marking Arrows Preformed Thermoplastic Type 3R</v>
          </cell>
          <cell r="C1430" t="str">
            <v>EACH</v>
          </cell>
        </row>
        <row r="1431">
          <cell r="A1431">
            <v>647.0172</v>
          </cell>
          <cell r="B1431" t="str">
            <v>Pavement Marking Arrows Preformed Plastic Type 3R</v>
          </cell>
          <cell r="C1431" t="str">
            <v>EACH</v>
          </cell>
        </row>
        <row r="1432">
          <cell r="A1432">
            <v>647.01729999999998</v>
          </cell>
          <cell r="B1432" t="str">
            <v>Pavement Marking Arrows Paint Type 3</v>
          </cell>
          <cell r="C1432" t="str">
            <v>EACH</v>
          </cell>
        </row>
        <row r="1433">
          <cell r="A1433">
            <v>647.01760000000002</v>
          </cell>
          <cell r="B1433" t="str">
            <v>Pavement Marking Arrows Epoxy Type 3</v>
          </cell>
          <cell r="C1433" t="str">
            <v>EACH</v>
          </cell>
        </row>
        <row r="1434">
          <cell r="A1434">
            <v>647.01779999999997</v>
          </cell>
          <cell r="B1434" t="str">
            <v>Pavement Marking Arrows Preformed Thermoplastic Type 3</v>
          </cell>
          <cell r="C1434" t="str">
            <v>EACH</v>
          </cell>
        </row>
        <row r="1435">
          <cell r="A1435">
            <v>647.01790000000005</v>
          </cell>
          <cell r="B1435" t="str">
            <v>Pavement Marking Arrows Preformed Plastic Type 3</v>
          </cell>
          <cell r="C1435" t="str">
            <v>EACH</v>
          </cell>
        </row>
        <row r="1436">
          <cell r="A1436">
            <v>647.01829999999995</v>
          </cell>
          <cell r="B1436" t="str">
            <v>Pavement Marking Arrows Paint Type 4</v>
          </cell>
          <cell r="C1436" t="str">
            <v>EACH</v>
          </cell>
        </row>
        <row r="1437">
          <cell r="A1437">
            <v>647.01859999999999</v>
          </cell>
          <cell r="B1437" t="str">
            <v>Pavement Marking Arrows Epoxy Type 4</v>
          </cell>
          <cell r="C1437" t="str">
            <v>EACH</v>
          </cell>
        </row>
        <row r="1438">
          <cell r="A1438">
            <v>647.01880000000006</v>
          </cell>
          <cell r="B1438" t="str">
            <v>Pavement Marking Arrows Preformed Thermoplastic Type 4</v>
          </cell>
          <cell r="C1438" t="str">
            <v>EACH</v>
          </cell>
        </row>
        <row r="1439">
          <cell r="A1439">
            <v>647.01890000000003</v>
          </cell>
          <cell r="B1439" t="str">
            <v>Pavement Marking Arrows Preformed Plastic Type 4</v>
          </cell>
          <cell r="C1439" t="str">
            <v>EACH</v>
          </cell>
        </row>
        <row r="1440">
          <cell r="A1440">
            <v>647.01930000000004</v>
          </cell>
          <cell r="B1440" t="str">
            <v>Pavement Marking Arrows Paint Type 5</v>
          </cell>
          <cell r="C1440" t="str">
            <v>EACH</v>
          </cell>
        </row>
        <row r="1441">
          <cell r="A1441">
            <v>647.01959999999997</v>
          </cell>
          <cell r="B1441" t="str">
            <v>Pavement Marking Arrows Epoxy Type 5</v>
          </cell>
          <cell r="C1441" t="str">
            <v>EACH</v>
          </cell>
        </row>
        <row r="1442">
          <cell r="A1442">
            <v>647.01980000000003</v>
          </cell>
          <cell r="B1442" t="str">
            <v>Pavement Marking Arrows Preformed Thermoplastic Type 5</v>
          </cell>
          <cell r="C1442" t="str">
            <v>EACH</v>
          </cell>
        </row>
        <row r="1443">
          <cell r="A1443">
            <v>647.01990000000001</v>
          </cell>
          <cell r="B1443" t="str">
            <v>Pavement Marking Arrows Preformed Plastic Type 5</v>
          </cell>
          <cell r="C1443" t="str">
            <v>EACH</v>
          </cell>
        </row>
        <row r="1444">
          <cell r="A1444">
            <v>647.02030000000002</v>
          </cell>
          <cell r="B1444" t="str">
            <v>Pavement Marking Arrows Bike Lane Paint</v>
          </cell>
          <cell r="C1444" t="str">
            <v>EACH</v>
          </cell>
        </row>
        <row r="1445">
          <cell r="A1445">
            <v>647.02059999999994</v>
          </cell>
          <cell r="B1445" t="str">
            <v>Pavement Marking Arrows Bike Lane Epoxy</v>
          </cell>
          <cell r="C1445" t="str">
            <v>EACH</v>
          </cell>
        </row>
        <row r="1446">
          <cell r="A1446">
            <v>647.02080000000001</v>
          </cell>
          <cell r="B1446" t="str">
            <v>Pavement Marking Arrows Bike Lane Preformed Thermoplastic</v>
          </cell>
          <cell r="C1446" t="str">
            <v>EACH</v>
          </cell>
        </row>
        <row r="1447">
          <cell r="A1447">
            <v>647.02089999999998</v>
          </cell>
          <cell r="B1447" t="str">
            <v>Pavement Marking Arrows Bike Lane Preformed Plastic</v>
          </cell>
          <cell r="C1447" t="str">
            <v>EACH</v>
          </cell>
        </row>
        <row r="1448">
          <cell r="A1448">
            <v>647.02530000000002</v>
          </cell>
          <cell r="B1448" t="str">
            <v>Pavement Marking Symbols Paint</v>
          </cell>
          <cell r="C1448" t="str">
            <v>EACH</v>
          </cell>
        </row>
        <row r="1449">
          <cell r="A1449">
            <v>647.02560000000005</v>
          </cell>
          <cell r="B1449" t="str">
            <v>Pavement Marking Symbols Epoxy</v>
          </cell>
          <cell r="C1449" t="str">
            <v>EACH</v>
          </cell>
        </row>
        <row r="1450">
          <cell r="A1450">
            <v>647.0258</v>
          </cell>
          <cell r="B1450" t="str">
            <v>Pavement Marking Symbols Preformed Thermoplastic</v>
          </cell>
          <cell r="C1450" t="str">
            <v>EACH</v>
          </cell>
        </row>
        <row r="1451">
          <cell r="A1451">
            <v>647.02589999999998</v>
          </cell>
          <cell r="B1451" t="str">
            <v>Pavement Marking Symbols Preformed Plastic</v>
          </cell>
          <cell r="C1451" t="str">
            <v>EACH</v>
          </cell>
        </row>
        <row r="1452">
          <cell r="A1452">
            <v>647.03030000000001</v>
          </cell>
          <cell r="B1452" t="str">
            <v>Pavement Marking Symbols Bike Lane Paint</v>
          </cell>
          <cell r="C1452" t="str">
            <v>EACH</v>
          </cell>
        </row>
        <row r="1453">
          <cell r="A1453">
            <v>647.03060000000005</v>
          </cell>
          <cell r="B1453" t="str">
            <v>Pavement Marking Symbols Bike Lane Epoxy</v>
          </cell>
          <cell r="C1453" t="str">
            <v>EACH</v>
          </cell>
        </row>
        <row r="1454">
          <cell r="A1454">
            <v>647.0308</v>
          </cell>
          <cell r="B1454" t="str">
            <v>Pavement Marking Symbols Bike Lane Preformed Thermoplastic</v>
          </cell>
          <cell r="C1454" t="str">
            <v>EACH</v>
          </cell>
        </row>
        <row r="1455">
          <cell r="A1455">
            <v>647.03089999999997</v>
          </cell>
          <cell r="B1455" t="str">
            <v>Pavement Marking Symbols Bike Lane Preformed Plastic</v>
          </cell>
          <cell r="C1455" t="str">
            <v>EACH</v>
          </cell>
        </row>
        <row r="1456">
          <cell r="A1456">
            <v>647.03129999999999</v>
          </cell>
          <cell r="B1456" t="str">
            <v>Pavement Marking Symbols Bike Detector Paint</v>
          </cell>
          <cell r="C1456" t="str">
            <v>EACH</v>
          </cell>
        </row>
        <row r="1457">
          <cell r="A1457">
            <v>647.03160000000003</v>
          </cell>
          <cell r="B1457" t="str">
            <v>Pavement Marking Symbols Bike Detector Epoxy</v>
          </cell>
          <cell r="C1457" t="str">
            <v>EACH</v>
          </cell>
        </row>
        <row r="1458">
          <cell r="A1458">
            <v>647.03179999999998</v>
          </cell>
          <cell r="B1458" t="str">
            <v>Pavement Marking Symbols Bike Detector Preformed Thermoplastic</v>
          </cell>
          <cell r="C1458" t="str">
            <v>EACH</v>
          </cell>
        </row>
        <row r="1459">
          <cell r="A1459">
            <v>647.03189999999995</v>
          </cell>
          <cell r="B1459" t="str">
            <v>Pavement Marking Symbols Bike Detector Preformed Plastic</v>
          </cell>
          <cell r="C1459" t="str">
            <v>EACH</v>
          </cell>
        </row>
        <row r="1460">
          <cell r="A1460">
            <v>647.03229999999996</v>
          </cell>
          <cell r="B1460" t="str">
            <v>Pavement Marking Symbols Bike Crossing Paint</v>
          </cell>
          <cell r="C1460" t="str">
            <v>EACH</v>
          </cell>
        </row>
        <row r="1461">
          <cell r="A1461">
            <v>647.0326</v>
          </cell>
          <cell r="B1461" t="str">
            <v>Pavement Marking Symbols Bike Crossing Epoxy</v>
          </cell>
          <cell r="C1461" t="str">
            <v>EACH</v>
          </cell>
        </row>
        <row r="1462">
          <cell r="A1462">
            <v>647.03279999999995</v>
          </cell>
          <cell r="B1462" t="str">
            <v>Pavement Marking Symbols Bike Crossing Preformed Thermoplastic</v>
          </cell>
          <cell r="C1462" t="str">
            <v>EACH</v>
          </cell>
        </row>
        <row r="1463">
          <cell r="A1463">
            <v>647.03290000000004</v>
          </cell>
          <cell r="B1463" t="str">
            <v>Pavement Marking Symbols Bike Crossing Preformed Plastic</v>
          </cell>
          <cell r="C1463" t="str">
            <v>EACH</v>
          </cell>
        </row>
        <row r="1464">
          <cell r="A1464">
            <v>647.03530000000001</v>
          </cell>
          <cell r="B1464" t="str">
            <v>Pavement Marking Words Paint</v>
          </cell>
          <cell r="C1464" t="str">
            <v>EACH</v>
          </cell>
        </row>
        <row r="1465">
          <cell r="A1465">
            <v>647.03560000000004</v>
          </cell>
          <cell r="B1465" t="str">
            <v>Pavement Marking Words Epoxy</v>
          </cell>
          <cell r="C1465" t="str">
            <v>EACH</v>
          </cell>
        </row>
        <row r="1466">
          <cell r="A1466">
            <v>647.03579999999999</v>
          </cell>
          <cell r="B1466" t="str">
            <v>Pavement Marking Words Preformed Thermoplastic</v>
          </cell>
          <cell r="C1466" t="str">
            <v>EACH</v>
          </cell>
        </row>
        <row r="1467">
          <cell r="A1467">
            <v>647.03589999999997</v>
          </cell>
          <cell r="B1467" t="str">
            <v>Pavement Marking Words Preformed Plastic</v>
          </cell>
          <cell r="C1467" t="str">
            <v>EACH</v>
          </cell>
        </row>
        <row r="1468">
          <cell r="A1468">
            <v>647.0403</v>
          </cell>
          <cell r="B1468" t="str">
            <v>Pavement Marking Words Bike Lane Paint</v>
          </cell>
          <cell r="C1468" t="str">
            <v>EACH</v>
          </cell>
        </row>
        <row r="1469">
          <cell r="A1469">
            <v>647.04060000000004</v>
          </cell>
          <cell r="B1469" t="str">
            <v>Pavement Marking Words Bike Lane Epoxy</v>
          </cell>
          <cell r="C1469" t="str">
            <v>EACH</v>
          </cell>
        </row>
        <row r="1470">
          <cell r="A1470">
            <v>647.04079999999999</v>
          </cell>
          <cell r="B1470" t="str">
            <v>Pavement Marking Words Bike Lane Preformed Thermoplastic</v>
          </cell>
          <cell r="C1470" t="str">
            <v>EACH</v>
          </cell>
        </row>
        <row r="1471">
          <cell r="A1471">
            <v>647.04089999999997</v>
          </cell>
          <cell r="B1471" t="str">
            <v>Pavement Marking Words Bike Lane Preformed Plastic</v>
          </cell>
          <cell r="C1471" t="str">
            <v>EACH</v>
          </cell>
        </row>
        <row r="1472">
          <cell r="A1472">
            <v>647.0453</v>
          </cell>
          <cell r="B1472" t="str">
            <v>Pavement Marking Curb Paint</v>
          </cell>
          <cell r="C1472" t="str">
            <v>LF</v>
          </cell>
        </row>
        <row r="1473">
          <cell r="A1473">
            <v>647.04560000000004</v>
          </cell>
          <cell r="B1473" t="str">
            <v>Pavement Marking Curb Epoxy</v>
          </cell>
          <cell r="C1473" t="str">
            <v>LF</v>
          </cell>
        </row>
        <row r="1474">
          <cell r="A1474">
            <v>647.05029999999999</v>
          </cell>
          <cell r="B1474" t="str">
            <v>Pavement Marking Curb Ramp Paint</v>
          </cell>
          <cell r="C1474" t="str">
            <v>LF</v>
          </cell>
        </row>
        <row r="1475">
          <cell r="A1475">
            <v>647.05060000000003</v>
          </cell>
          <cell r="B1475" t="str">
            <v>Pavement Marking Curb Ramp Epoxy</v>
          </cell>
          <cell r="C1475" t="str">
            <v>LF</v>
          </cell>
        </row>
        <row r="1476">
          <cell r="A1476">
            <v>647.05089999999996</v>
          </cell>
          <cell r="B1476" t="str">
            <v>Pavement Marking Curb Ramp Preformed Plastic</v>
          </cell>
          <cell r="C1476" t="str">
            <v>LF</v>
          </cell>
        </row>
        <row r="1477">
          <cell r="A1477">
            <v>647.05229999999995</v>
          </cell>
          <cell r="B1477" t="str">
            <v>Pavement Marking Yield Line Paint 18-Inch</v>
          </cell>
          <cell r="C1477" t="str">
            <v>EACH</v>
          </cell>
        </row>
        <row r="1478">
          <cell r="A1478">
            <v>647.05259999999998</v>
          </cell>
          <cell r="B1478" t="str">
            <v>Pavement Marking Yield Line Epoxy 18-Inch</v>
          </cell>
          <cell r="C1478" t="str">
            <v>EACH</v>
          </cell>
        </row>
        <row r="1479">
          <cell r="A1479">
            <v>647.05280000000005</v>
          </cell>
          <cell r="B1479" t="str">
            <v>Pavement Marking Yield Line Preformed Thermoplastic 18-Inch</v>
          </cell>
          <cell r="C1479" t="str">
            <v>EACH</v>
          </cell>
        </row>
        <row r="1480">
          <cell r="A1480">
            <v>647.05290000000002</v>
          </cell>
          <cell r="B1480" t="str">
            <v>Pavement Marking Yield Line Preformed Plastic 18-Inch</v>
          </cell>
          <cell r="C1480" t="str">
            <v>EACH</v>
          </cell>
        </row>
        <row r="1481">
          <cell r="A1481">
            <v>647.05430000000001</v>
          </cell>
          <cell r="B1481" t="str">
            <v>Pavement Marking Yield Line Paint 36-Inch</v>
          </cell>
          <cell r="C1481" t="str">
            <v>EACH</v>
          </cell>
        </row>
        <row r="1482">
          <cell r="A1482">
            <v>647.05460000000005</v>
          </cell>
          <cell r="B1482" t="str">
            <v>Pavement Marking Yield Line Epoxy 36-Inch</v>
          </cell>
          <cell r="C1482" t="str">
            <v>EACH</v>
          </cell>
        </row>
        <row r="1483">
          <cell r="A1483">
            <v>647.0548</v>
          </cell>
          <cell r="B1483" t="str">
            <v>Pavement Marking Yield Line Preformed Thermoplastic 36-Inch</v>
          </cell>
          <cell r="C1483" t="str">
            <v>EACH</v>
          </cell>
        </row>
        <row r="1484">
          <cell r="A1484">
            <v>647.05489999999998</v>
          </cell>
          <cell r="B1484" t="str">
            <v>Pavement Marking Yield Line Preformed Plastic 36-Inch</v>
          </cell>
          <cell r="C1484" t="str">
            <v>EACH</v>
          </cell>
        </row>
        <row r="1485">
          <cell r="A1485">
            <v>647.05529999999999</v>
          </cell>
          <cell r="B1485" t="str">
            <v>Pavement Marking Stop Line Paint 12-Inch</v>
          </cell>
          <cell r="C1485" t="str">
            <v>LF</v>
          </cell>
        </row>
        <row r="1486">
          <cell r="A1486">
            <v>647.05560000000003</v>
          </cell>
          <cell r="B1486" t="str">
            <v>Pavement Marking Stop Line Epoxy 12-Inch</v>
          </cell>
          <cell r="C1486" t="str">
            <v>LF</v>
          </cell>
        </row>
        <row r="1487">
          <cell r="A1487">
            <v>647.05579999999998</v>
          </cell>
          <cell r="B1487" t="str">
            <v>Pavement Marking Stop Line Preformed Thermoplastic 12-Inch</v>
          </cell>
          <cell r="C1487" t="str">
            <v>LF</v>
          </cell>
        </row>
        <row r="1488">
          <cell r="A1488">
            <v>647.05589999999995</v>
          </cell>
          <cell r="B1488" t="str">
            <v>Pavement Marking Stop Line Preformed Plastic 12-Inch</v>
          </cell>
          <cell r="C1488" t="str">
            <v>LF</v>
          </cell>
        </row>
        <row r="1489">
          <cell r="A1489">
            <v>647.05629999999996</v>
          </cell>
          <cell r="B1489" t="str">
            <v>Pavement Marking Stop Line Paint 18-Inch</v>
          </cell>
          <cell r="C1489" t="str">
            <v>LF</v>
          </cell>
        </row>
        <row r="1490">
          <cell r="A1490">
            <v>647.0566</v>
          </cell>
          <cell r="B1490" t="str">
            <v>Pavement Marking Stop Line Epoxy 18-Inch</v>
          </cell>
          <cell r="C1490" t="str">
            <v>LF</v>
          </cell>
        </row>
        <row r="1491">
          <cell r="A1491">
            <v>647.05679999999995</v>
          </cell>
          <cell r="B1491" t="str">
            <v>Pavement Marking Stop Line Preformed Thermoplastic 18-Inch</v>
          </cell>
          <cell r="C1491" t="str">
            <v>LF</v>
          </cell>
        </row>
        <row r="1492">
          <cell r="A1492">
            <v>647.05690000000004</v>
          </cell>
          <cell r="B1492" t="str">
            <v>Pavement Marking Stop Line Preformed Plastic 18-Inch</v>
          </cell>
          <cell r="C1492" t="str">
            <v>LF</v>
          </cell>
        </row>
        <row r="1493">
          <cell r="A1493">
            <v>647.05730000000005</v>
          </cell>
          <cell r="B1493" t="str">
            <v>Pavement Marking Stop Line Paint 24-Inch</v>
          </cell>
          <cell r="C1493" t="str">
            <v>LF</v>
          </cell>
        </row>
        <row r="1494">
          <cell r="A1494">
            <v>647.05759999999998</v>
          </cell>
          <cell r="B1494" t="str">
            <v>Pavement Marking Stop Line Epoxy 24-Inch</v>
          </cell>
          <cell r="C1494" t="str">
            <v>LF</v>
          </cell>
        </row>
        <row r="1495">
          <cell r="A1495">
            <v>647.05780000000004</v>
          </cell>
          <cell r="B1495" t="str">
            <v>Pavement Marking Stop Line Preformed Thermoplastic 24-Inch</v>
          </cell>
          <cell r="C1495" t="str">
            <v>LF</v>
          </cell>
        </row>
        <row r="1496">
          <cell r="A1496">
            <v>647.05790000000002</v>
          </cell>
          <cell r="B1496" t="str">
            <v>Pavement Marking Stop Line Preformed Plastic 24-Inch</v>
          </cell>
          <cell r="C1496" t="str">
            <v>LF</v>
          </cell>
        </row>
        <row r="1497">
          <cell r="A1497">
            <v>647.06029999999998</v>
          </cell>
          <cell r="B1497" t="str">
            <v>Pavement Marking Island Nose Paint</v>
          </cell>
          <cell r="C1497" t="str">
            <v>EACH</v>
          </cell>
        </row>
        <row r="1498">
          <cell r="A1498">
            <v>647.06060000000002</v>
          </cell>
          <cell r="B1498" t="str">
            <v>Pavement Marking Island Nose Epoxy</v>
          </cell>
          <cell r="C1498" t="str">
            <v>EACH</v>
          </cell>
        </row>
        <row r="1499">
          <cell r="A1499">
            <v>647.06529999999998</v>
          </cell>
          <cell r="B1499" t="str">
            <v>Pavement Marking Parking Stall Paint</v>
          </cell>
          <cell r="C1499" t="str">
            <v>LF</v>
          </cell>
        </row>
        <row r="1500">
          <cell r="A1500">
            <v>647.06560000000002</v>
          </cell>
          <cell r="B1500" t="str">
            <v>Pavement Marking Parking Stall Epoxy</v>
          </cell>
          <cell r="C1500" t="str">
            <v>LF</v>
          </cell>
        </row>
        <row r="1501">
          <cell r="A1501">
            <v>647.06579999999997</v>
          </cell>
          <cell r="B1501" t="str">
            <v>Pavement Marking Parking Stall Preformed Thermoplastic</v>
          </cell>
          <cell r="C1501" t="str">
            <v>LF</v>
          </cell>
        </row>
        <row r="1502">
          <cell r="A1502">
            <v>647.06590000000006</v>
          </cell>
          <cell r="B1502" t="str">
            <v>Pavement Marking Parking Stall Preformed Plastic</v>
          </cell>
          <cell r="C1502" t="str">
            <v>LF</v>
          </cell>
        </row>
        <row r="1503">
          <cell r="A1503">
            <v>647.07060000000001</v>
          </cell>
          <cell r="B1503" t="str">
            <v>Pavement Marking Diagonal Epoxy 6-Inch</v>
          </cell>
          <cell r="C1503" t="str">
            <v>LF</v>
          </cell>
        </row>
        <row r="1504">
          <cell r="A1504">
            <v>647.07129999999995</v>
          </cell>
          <cell r="B1504" t="str">
            <v>Pavement Marking Diagonal Paint 8-Inch</v>
          </cell>
          <cell r="C1504" t="str">
            <v>LF</v>
          </cell>
        </row>
        <row r="1505">
          <cell r="A1505">
            <v>647.07159999999999</v>
          </cell>
          <cell r="B1505" t="str">
            <v>Pavement Marking Diagonal Epoxy 8-Inch</v>
          </cell>
          <cell r="C1505" t="str">
            <v>LF</v>
          </cell>
        </row>
        <row r="1506">
          <cell r="A1506">
            <v>647.07180000000005</v>
          </cell>
          <cell r="B1506" t="str">
            <v>Pavement Marking Diagonal Preformed Thermoplastic 8-Inch</v>
          </cell>
          <cell r="C1506" t="str">
            <v>LF</v>
          </cell>
        </row>
        <row r="1507">
          <cell r="A1507">
            <v>647.07190000000003</v>
          </cell>
          <cell r="B1507" t="str">
            <v>Pavement Marking Diagonal Preformed Plastic 8-Inch</v>
          </cell>
          <cell r="C1507" t="str">
            <v>LF</v>
          </cell>
        </row>
        <row r="1508">
          <cell r="A1508">
            <v>647.07230000000004</v>
          </cell>
          <cell r="B1508" t="str">
            <v>Pavement Marking Diagonal Paint 12-Inch</v>
          </cell>
          <cell r="C1508" t="str">
            <v>LF</v>
          </cell>
        </row>
        <row r="1509">
          <cell r="A1509">
            <v>647.07259999999997</v>
          </cell>
          <cell r="B1509" t="str">
            <v>Pavement Marking Diagonal Epoxy 12-Inch</v>
          </cell>
          <cell r="C1509" t="str">
            <v>LF</v>
          </cell>
        </row>
        <row r="1510">
          <cell r="A1510">
            <v>647.07280000000003</v>
          </cell>
          <cell r="B1510" t="str">
            <v>Pavement Marking Diagonal Preformed Thermoplastic 12-Inch</v>
          </cell>
          <cell r="C1510" t="str">
            <v>LF</v>
          </cell>
        </row>
        <row r="1511">
          <cell r="A1511">
            <v>647.0729</v>
          </cell>
          <cell r="B1511" t="str">
            <v>Pavement Marking Diagonal Preformed Plastic 12-Inch</v>
          </cell>
          <cell r="C1511" t="str">
            <v>LF</v>
          </cell>
        </row>
        <row r="1512">
          <cell r="A1512">
            <v>647.07330000000002</v>
          </cell>
          <cell r="B1512" t="str">
            <v>Pavement Marking Diagonal Paint 18-Inch</v>
          </cell>
          <cell r="C1512" t="str">
            <v>LF</v>
          </cell>
        </row>
        <row r="1513">
          <cell r="A1513">
            <v>647.07360000000006</v>
          </cell>
          <cell r="B1513" t="str">
            <v>Pavement Marking Diagonal Epoxy 18-Inch</v>
          </cell>
          <cell r="C1513" t="str">
            <v>LF</v>
          </cell>
        </row>
        <row r="1514">
          <cell r="A1514">
            <v>647.07380000000001</v>
          </cell>
          <cell r="B1514" t="str">
            <v>Pavement Marking Diagonal Preformed Thermoplastic 18-Inch</v>
          </cell>
          <cell r="C1514" t="str">
            <v>LF</v>
          </cell>
        </row>
        <row r="1515">
          <cell r="A1515">
            <v>647.07389999999998</v>
          </cell>
          <cell r="B1515" t="str">
            <v>Pavement Marking Diagonal Preformed Plastic 18-Inch</v>
          </cell>
          <cell r="C1515" t="str">
            <v>LF</v>
          </cell>
        </row>
        <row r="1516">
          <cell r="A1516">
            <v>647.07429999999999</v>
          </cell>
          <cell r="B1516" t="str">
            <v>Pavement Marking Diagonal Paint 24-Inch</v>
          </cell>
          <cell r="C1516" t="str">
            <v>LF</v>
          </cell>
        </row>
        <row r="1517">
          <cell r="A1517">
            <v>647.07460000000003</v>
          </cell>
          <cell r="B1517" t="str">
            <v>Pavement Marking Diagonal Epoxy 24-Inch</v>
          </cell>
          <cell r="C1517" t="str">
            <v>LF</v>
          </cell>
        </row>
        <row r="1518">
          <cell r="A1518">
            <v>647.07479999999998</v>
          </cell>
          <cell r="B1518" t="str">
            <v>Pavement Marking Diagonal Preformed Thermoplastic 24-Inch</v>
          </cell>
          <cell r="C1518" t="str">
            <v>LF</v>
          </cell>
        </row>
        <row r="1519">
          <cell r="A1519">
            <v>647.07489999999996</v>
          </cell>
          <cell r="B1519" t="str">
            <v>Pavement Marking Diagonal Preformed Plastic 24-Inch</v>
          </cell>
          <cell r="C1519" t="str">
            <v>LF</v>
          </cell>
        </row>
        <row r="1520">
          <cell r="A1520">
            <v>647.07629999999995</v>
          </cell>
          <cell r="B1520" t="str">
            <v>Pavement Marking Crosswalk Paint 6-Inch</v>
          </cell>
          <cell r="C1520" t="str">
            <v>LF</v>
          </cell>
        </row>
        <row r="1521">
          <cell r="A1521">
            <v>647.07659999999998</v>
          </cell>
          <cell r="B1521" t="str">
            <v>Pavement Marking Crosswalk Epoxy 6-Inch</v>
          </cell>
          <cell r="C1521" t="str">
            <v>LF</v>
          </cell>
        </row>
        <row r="1522">
          <cell r="A1522">
            <v>647.07680000000005</v>
          </cell>
          <cell r="B1522" t="str">
            <v>Pavement Marking Crosswalk Preformed Thermoplastic 6-Inch</v>
          </cell>
          <cell r="C1522" t="str">
            <v>LF</v>
          </cell>
        </row>
        <row r="1523">
          <cell r="A1523">
            <v>647.07690000000002</v>
          </cell>
          <cell r="B1523" t="str">
            <v>Pavement Marking Crosswalk Preformed Plastic 6-Inch</v>
          </cell>
          <cell r="C1523" t="str">
            <v>LF</v>
          </cell>
        </row>
        <row r="1524">
          <cell r="A1524">
            <v>647.07730000000004</v>
          </cell>
          <cell r="B1524" t="str">
            <v>Pavement Marking Crosswalk Paint 12-Inch</v>
          </cell>
          <cell r="C1524" t="str">
            <v>LF</v>
          </cell>
        </row>
        <row r="1525">
          <cell r="A1525">
            <v>647.07759999999996</v>
          </cell>
          <cell r="B1525" t="str">
            <v>Pavement Marking Crosswalk Epoxy 12-Inch</v>
          </cell>
          <cell r="C1525" t="str">
            <v>LF</v>
          </cell>
        </row>
        <row r="1526">
          <cell r="A1526">
            <v>647.07780000000002</v>
          </cell>
          <cell r="B1526" t="str">
            <v>Pavement Marking Crosswalk Preformed Thermoplastic 12-Inch</v>
          </cell>
          <cell r="C1526" t="str">
            <v>LF</v>
          </cell>
        </row>
        <row r="1527">
          <cell r="A1527">
            <v>647.0779</v>
          </cell>
          <cell r="B1527" t="str">
            <v>Pavement Marking Crosswalk Preformed Plastic 12-Inch</v>
          </cell>
          <cell r="C1527" t="str">
            <v>LF</v>
          </cell>
        </row>
        <row r="1528">
          <cell r="A1528">
            <v>647.07830000000001</v>
          </cell>
          <cell r="B1528" t="str">
            <v>Pavement Marking Crosswalk Paint 18-Inch</v>
          </cell>
          <cell r="C1528" t="str">
            <v>LF</v>
          </cell>
        </row>
        <row r="1529">
          <cell r="A1529">
            <v>647.07860000000005</v>
          </cell>
          <cell r="B1529" t="str">
            <v>Pavement Marking Crosswalk Epoxy 18-Inch</v>
          </cell>
          <cell r="C1529" t="str">
            <v>LF</v>
          </cell>
        </row>
        <row r="1530">
          <cell r="A1530">
            <v>647.0788</v>
          </cell>
          <cell r="B1530" t="str">
            <v>Pavement Marking Crosswalk Preformed Thermoplastic 18-Inch</v>
          </cell>
          <cell r="C1530" t="str">
            <v>LF</v>
          </cell>
        </row>
        <row r="1531">
          <cell r="A1531">
            <v>647.07889999999998</v>
          </cell>
          <cell r="B1531" t="str">
            <v>Pavement Marking Crosswalk Preformed Plastic 18-Inch</v>
          </cell>
          <cell r="C1531" t="str">
            <v>LF</v>
          </cell>
        </row>
        <row r="1532">
          <cell r="A1532">
            <v>647.07929999999999</v>
          </cell>
          <cell r="B1532" t="str">
            <v>Pavement Marking Crosswalk Paint 24-Inch</v>
          </cell>
          <cell r="C1532" t="str">
            <v>LF</v>
          </cell>
        </row>
        <row r="1533">
          <cell r="A1533">
            <v>647.07960000000003</v>
          </cell>
          <cell r="B1533" t="str">
            <v>Pavement Marking Crosswalk Epoxy 24-Inch</v>
          </cell>
          <cell r="C1533" t="str">
            <v>LF</v>
          </cell>
        </row>
        <row r="1534">
          <cell r="A1534">
            <v>647.07979999999998</v>
          </cell>
          <cell r="B1534" t="str">
            <v>Pavement Marking Crosswalk Preformed Thermoplastic 24-Inch</v>
          </cell>
          <cell r="C1534" t="str">
            <v>LF</v>
          </cell>
        </row>
        <row r="1535">
          <cell r="A1535">
            <v>647.07989999999995</v>
          </cell>
          <cell r="B1535" t="str">
            <v>Pavement Marking Crosswalk Preformed Plastic 24-Inch</v>
          </cell>
          <cell r="C1535" t="str">
            <v>LF</v>
          </cell>
        </row>
        <row r="1536">
          <cell r="A1536">
            <v>647.08029999999997</v>
          </cell>
          <cell r="B1536" t="str">
            <v>Pavement Marking Aerial Enforcement Bars Epoxy 24-Inch</v>
          </cell>
          <cell r="C1536" t="str">
            <v>LF</v>
          </cell>
        </row>
        <row r="1537">
          <cell r="A1537">
            <v>647.0806</v>
          </cell>
          <cell r="B1537" t="str">
            <v>Pavement Marking Aerial Enforcement Bars Preformed Plastic 24-Inch</v>
          </cell>
          <cell r="C1537" t="str">
            <v>LF</v>
          </cell>
        </row>
        <row r="1538">
          <cell r="A1538">
            <v>647.08079999999995</v>
          </cell>
          <cell r="B1538" t="str">
            <v>Pavement Marking Aerial Enforcement Bars Preformed Thermoplastic 24-Inch</v>
          </cell>
          <cell r="C1538" t="str">
            <v>LF</v>
          </cell>
        </row>
        <row r="1539">
          <cell r="A1539">
            <v>647.08529999999996</v>
          </cell>
          <cell r="B1539" t="str">
            <v>Pavement Marking Concrete Corrugated Median Paint</v>
          </cell>
          <cell r="C1539" t="str">
            <v>SF</v>
          </cell>
        </row>
        <row r="1540">
          <cell r="A1540">
            <v>647.0856</v>
          </cell>
          <cell r="B1540" t="str">
            <v>Pavement Marking Concrete Corrugated Median Epoxy</v>
          </cell>
          <cell r="C1540" t="str">
            <v>SF</v>
          </cell>
        </row>
        <row r="1541">
          <cell r="A1541">
            <v>647.09550000000002</v>
          </cell>
          <cell r="B1541" t="str">
            <v>Removing Pavement Markings Arrows</v>
          </cell>
          <cell r="C1541" t="str">
            <v>EACH</v>
          </cell>
        </row>
        <row r="1542">
          <cell r="A1542">
            <v>647.096</v>
          </cell>
          <cell r="B1542" t="str">
            <v>Removing Pavement Markings Symbols</v>
          </cell>
          <cell r="C1542" t="str">
            <v>EACH</v>
          </cell>
        </row>
        <row r="1543">
          <cell r="A1543">
            <v>647.09649999999999</v>
          </cell>
          <cell r="B1543" t="str">
            <v>Removing Pavement Markings Words</v>
          </cell>
          <cell r="C1543" t="str">
            <v>EACH</v>
          </cell>
        </row>
        <row r="1544">
          <cell r="A1544">
            <v>648.01</v>
          </cell>
          <cell r="B1544" t="str">
            <v>Locating No-Passing Zones</v>
          </cell>
          <cell r="C1544" t="str">
            <v>MI</v>
          </cell>
        </row>
        <row r="1545">
          <cell r="A1545">
            <v>649.01</v>
          </cell>
          <cell r="B1545" t="str">
            <v>Temporary Pavement Marking 4-Inch</v>
          </cell>
          <cell r="C1545" t="str">
            <v>LF</v>
          </cell>
        </row>
        <row r="1546">
          <cell r="A1546">
            <v>649.02</v>
          </cell>
          <cell r="B1546" t="str">
            <v>Temporary Pavement Marking Reflective Paint 4-Inch</v>
          </cell>
          <cell r="C1546" t="str">
            <v>LF</v>
          </cell>
        </row>
        <row r="1547">
          <cell r="A1547">
            <v>649.03</v>
          </cell>
          <cell r="B1547" t="str">
            <v>Temporary Pavement Marking Reflective Tape 4-Inch</v>
          </cell>
          <cell r="C1547" t="str">
            <v>LF</v>
          </cell>
        </row>
        <row r="1548">
          <cell r="A1548">
            <v>649.04</v>
          </cell>
          <cell r="B1548" t="str">
            <v>Temporary Pavement Marking Removable Tape 4-Inch</v>
          </cell>
          <cell r="C1548" t="str">
            <v>LF</v>
          </cell>
        </row>
        <row r="1549">
          <cell r="A1549">
            <v>649.05999999999995</v>
          </cell>
          <cell r="B1549" t="str">
            <v>Temporary Pavement Marking Removable Tape 6-Inch</v>
          </cell>
          <cell r="C1549" t="str">
            <v>LF</v>
          </cell>
        </row>
        <row r="1550">
          <cell r="A1550">
            <v>649.07010000000002</v>
          </cell>
          <cell r="B1550" t="str">
            <v>Temporary Pavement Marking 8-Inch</v>
          </cell>
          <cell r="C1550" t="str">
            <v>LF</v>
          </cell>
        </row>
        <row r="1551">
          <cell r="A1551">
            <v>649.08010000000002</v>
          </cell>
          <cell r="B1551" t="str">
            <v>Temporary Pavement Marking Removable Tape 8-Inch</v>
          </cell>
          <cell r="C1551" t="str">
            <v>LF</v>
          </cell>
        </row>
        <row r="1552">
          <cell r="A1552">
            <v>649.09</v>
          </cell>
          <cell r="B1552" t="str">
            <v>Temporary Pavement Marking Stop Line 12-Inch</v>
          </cell>
          <cell r="C1552" t="str">
            <v>LF</v>
          </cell>
        </row>
        <row r="1553">
          <cell r="A1553">
            <v>649.1</v>
          </cell>
          <cell r="B1553" t="str">
            <v>Temporary Pavement Marking Stop Line Removable Tape 12-Inch</v>
          </cell>
          <cell r="C1553" t="str">
            <v>LF</v>
          </cell>
        </row>
        <row r="1554">
          <cell r="A1554">
            <v>649.11</v>
          </cell>
          <cell r="B1554" t="str">
            <v>Temporary Pavement Marking Stop Line 18-Inch</v>
          </cell>
          <cell r="C1554" t="str">
            <v>LF</v>
          </cell>
        </row>
        <row r="1555">
          <cell r="A1555">
            <v>649.12</v>
          </cell>
          <cell r="B1555" t="str">
            <v>Temporary Pavement Marking Stop Line Removable Tape 18-Inch</v>
          </cell>
          <cell r="C1555" t="str">
            <v>LF</v>
          </cell>
        </row>
        <row r="1556">
          <cell r="A1556">
            <v>649.13</v>
          </cell>
          <cell r="B1556" t="str">
            <v>Temporary Pavement Marking Stop Line 24-Inch</v>
          </cell>
          <cell r="C1556" t="str">
            <v>LF</v>
          </cell>
        </row>
        <row r="1557">
          <cell r="A1557">
            <v>649.14</v>
          </cell>
          <cell r="B1557" t="str">
            <v>Temporary Pavement Marking Stop Line Removable Tape 24-Inch</v>
          </cell>
          <cell r="C1557" t="str">
            <v>LF</v>
          </cell>
        </row>
        <row r="1558">
          <cell r="A1558">
            <v>649.15</v>
          </cell>
          <cell r="B1558" t="str">
            <v>Temporary Pavement Marking Diagonal 12-Inch</v>
          </cell>
          <cell r="C1558" t="str">
            <v>LF</v>
          </cell>
        </row>
        <row r="1559">
          <cell r="A1559">
            <v>649.16</v>
          </cell>
          <cell r="B1559" t="str">
            <v>Temporary Pavement Marking Diagonal Removable Tape 12-Inch</v>
          </cell>
          <cell r="C1559" t="str">
            <v>LF</v>
          </cell>
        </row>
        <row r="1560">
          <cell r="A1560">
            <v>649.16999999999996</v>
          </cell>
          <cell r="B1560" t="str">
            <v>Temporary Pavement Marking Arrows</v>
          </cell>
          <cell r="C1560" t="str">
            <v>EACH</v>
          </cell>
        </row>
        <row r="1561">
          <cell r="A1561">
            <v>649.17999999999995</v>
          </cell>
          <cell r="B1561" t="str">
            <v>Temporary Pavement Marking Arrows Removable Tape</v>
          </cell>
          <cell r="C1561" t="str">
            <v>EACH</v>
          </cell>
        </row>
        <row r="1562">
          <cell r="A1562">
            <v>649.19000000000005</v>
          </cell>
          <cell r="B1562" t="str">
            <v>Temporary Pavement Marking Words</v>
          </cell>
          <cell r="C1562" t="str">
            <v>EACH</v>
          </cell>
        </row>
        <row r="1563">
          <cell r="A1563">
            <v>649.20000000000005</v>
          </cell>
          <cell r="B1563" t="str">
            <v>Temporary Pavement Marking Words Removable Tape</v>
          </cell>
          <cell r="C1563" t="str">
            <v>EACH</v>
          </cell>
        </row>
        <row r="1564">
          <cell r="A1564">
            <v>649.21</v>
          </cell>
          <cell r="B1564" t="str">
            <v>Temporary Raised Pavement Markers</v>
          </cell>
          <cell r="C1564" t="str">
            <v>EACH</v>
          </cell>
        </row>
        <row r="1565">
          <cell r="A1565">
            <v>650.4</v>
          </cell>
          <cell r="B1565" t="str">
            <v>Construction Staking Storm Sewer</v>
          </cell>
          <cell r="C1565" t="str">
            <v>EACH</v>
          </cell>
        </row>
        <row r="1566">
          <cell r="A1566">
            <v>650.45000000000005</v>
          </cell>
          <cell r="B1566" t="str">
            <v>Construction Staking Subgrade</v>
          </cell>
          <cell r="C1566" t="str">
            <v>LF</v>
          </cell>
        </row>
        <row r="1567">
          <cell r="A1567">
            <v>650.5</v>
          </cell>
          <cell r="B1567" t="str">
            <v>Construction Staking Base</v>
          </cell>
          <cell r="C1567" t="str">
            <v>LF</v>
          </cell>
        </row>
        <row r="1568">
          <cell r="A1568">
            <v>650.54999999999995</v>
          </cell>
          <cell r="B1568" t="str">
            <v>Construction Staking Curb Gutter and Curb &amp; Gutter</v>
          </cell>
          <cell r="C1568" t="str">
            <v>LF</v>
          </cell>
        </row>
        <row r="1569">
          <cell r="A1569">
            <v>650.6</v>
          </cell>
          <cell r="B1569" t="str">
            <v>Construction Staking Pipe Culverts</v>
          </cell>
          <cell r="C1569" t="str">
            <v>EACH</v>
          </cell>
        </row>
        <row r="1570">
          <cell r="A1570">
            <v>650.65</v>
          </cell>
          <cell r="B1570" t="str">
            <v>Construction Staking Structure Layout (structure)</v>
          </cell>
          <cell r="C1570" t="str">
            <v>LS</v>
          </cell>
        </row>
        <row r="1571">
          <cell r="A1571">
            <v>650.70000000000005</v>
          </cell>
          <cell r="B1571" t="str">
            <v>Construction Staking Concrete Pavement</v>
          </cell>
          <cell r="C1571" t="str">
            <v>LF</v>
          </cell>
        </row>
        <row r="1572">
          <cell r="A1572">
            <v>650.75</v>
          </cell>
          <cell r="B1572" t="str">
            <v>Construction Staking Concrete Barrier</v>
          </cell>
          <cell r="C1572" t="str">
            <v>LF</v>
          </cell>
        </row>
        <row r="1573">
          <cell r="A1573">
            <v>650.79999999999995</v>
          </cell>
          <cell r="B1573" t="str">
            <v>Construction Staking Resurfacing Reference</v>
          </cell>
          <cell r="C1573" t="str">
            <v>LF</v>
          </cell>
        </row>
        <row r="1574">
          <cell r="A1574">
            <v>650.85</v>
          </cell>
          <cell r="B1574" t="str">
            <v>Construction Staking Electrical Installations (project)</v>
          </cell>
          <cell r="C1574" t="str">
            <v>LS</v>
          </cell>
        </row>
        <row r="1575">
          <cell r="A1575">
            <v>650.99099999999999</v>
          </cell>
          <cell r="B1575" t="str">
            <v>Construction Staking Supplemental Control (project)</v>
          </cell>
          <cell r="C1575" t="str">
            <v>LS</v>
          </cell>
        </row>
        <row r="1576">
          <cell r="A1576">
            <v>650.99199999999996</v>
          </cell>
          <cell r="B1576" t="str">
            <v>Construction Staking Slope Stakes</v>
          </cell>
          <cell r="C1576" t="str">
            <v>LF</v>
          </cell>
        </row>
        <row r="1577">
          <cell r="A1577">
            <v>652.01049999999998</v>
          </cell>
          <cell r="B1577" t="str">
            <v>Conduit Rigid Metallic 3/4-Inch</v>
          </cell>
          <cell r="C1577" t="str">
            <v>LF</v>
          </cell>
        </row>
        <row r="1578">
          <cell r="A1578">
            <v>652.01099999999997</v>
          </cell>
          <cell r="B1578" t="str">
            <v>Conduit Rigid Metallic 1-Inch</v>
          </cell>
          <cell r="C1578" t="str">
            <v>LF</v>
          </cell>
        </row>
        <row r="1579">
          <cell r="A1579">
            <v>652.01149999999996</v>
          </cell>
          <cell r="B1579" t="str">
            <v>Conduit Rigid Metallic 1 1/4-Inch</v>
          </cell>
          <cell r="C1579" t="str">
            <v>LF</v>
          </cell>
        </row>
        <row r="1580">
          <cell r="A1580">
            <v>652.01199999999994</v>
          </cell>
          <cell r="B1580" t="str">
            <v>Conduit Rigid Metallic 1 1/2-Inch</v>
          </cell>
          <cell r="C1580" t="str">
            <v>LF</v>
          </cell>
        </row>
        <row r="1581">
          <cell r="A1581">
            <v>652.01250000000005</v>
          </cell>
          <cell r="B1581" t="str">
            <v>Conduit Rigid Metallic 2-Inch</v>
          </cell>
          <cell r="C1581" t="str">
            <v>LF</v>
          </cell>
        </row>
        <row r="1582">
          <cell r="A1582">
            <v>652.01300000000003</v>
          </cell>
          <cell r="B1582" t="str">
            <v>Conduit Rigid Metallic 2 1/2-Inch</v>
          </cell>
          <cell r="C1582" t="str">
            <v>LF</v>
          </cell>
        </row>
        <row r="1583">
          <cell r="A1583">
            <v>652.01350000000002</v>
          </cell>
          <cell r="B1583" t="str">
            <v>Conduit Rigid Metallic 3-Inch</v>
          </cell>
          <cell r="C1583" t="str">
            <v>LF</v>
          </cell>
        </row>
        <row r="1584">
          <cell r="A1584">
            <v>652.01400000000001</v>
          </cell>
          <cell r="B1584" t="str">
            <v>Conduit Rigid Metallic 3 1/2-Inch</v>
          </cell>
          <cell r="C1584" t="str">
            <v>LF</v>
          </cell>
        </row>
        <row r="1585">
          <cell r="A1585">
            <v>652.0145</v>
          </cell>
          <cell r="B1585" t="str">
            <v>Conduit Rigid Metallic 4-Inch</v>
          </cell>
          <cell r="C1585" t="str">
            <v>LF</v>
          </cell>
        </row>
        <row r="1586">
          <cell r="A1586">
            <v>652.02049999999997</v>
          </cell>
          <cell r="B1586" t="str">
            <v>Conduit Rigid Nonmetallic Schedule 40 3/4-Inch</v>
          </cell>
          <cell r="C1586" t="str">
            <v>LF</v>
          </cell>
        </row>
        <row r="1587">
          <cell r="A1587">
            <v>652.02099999999996</v>
          </cell>
          <cell r="B1587" t="str">
            <v>Conduit Rigid Nonmetallic Schedule 40 1-Inch</v>
          </cell>
          <cell r="C1587" t="str">
            <v>LF</v>
          </cell>
        </row>
        <row r="1588">
          <cell r="A1588">
            <v>652.02149999999995</v>
          </cell>
          <cell r="B1588" t="str">
            <v>Conduit Rigid Nonmetallic Schedule 40 1 1/4-Inch</v>
          </cell>
          <cell r="C1588" t="str">
            <v>LF</v>
          </cell>
        </row>
        <row r="1589">
          <cell r="A1589">
            <v>652.02200000000005</v>
          </cell>
          <cell r="B1589" t="str">
            <v>Conduit Rigid Nonmetallic Schedule 40 1 1/2-Inch</v>
          </cell>
          <cell r="C1589" t="str">
            <v>LF</v>
          </cell>
        </row>
        <row r="1590">
          <cell r="A1590">
            <v>652.02250000000004</v>
          </cell>
          <cell r="B1590" t="str">
            <v>Conduit Rigid Nonmetallic Schedule 40 2-Inch</v>
          </cell>
          <cell r="C1590" t="str">
            <v>LF</v>
          </cell>
        </row>
        <row r="1591">
          <cell r="A1591">
            <v>652.02300000000002</v>
          </cell>
          <cell r="B1591" t="str">
            <v>Conduit Rigid Nonmetallic Schedule 40 2 1/2-Inch</v>
          </cell>
          <cell r="C1591" t="str">
            <v>LF</v>
          </cell>
        </row>
        <row r="1592">
          <cell r="A1592">
            <v>652.02350000000001</v>
          </cell>
          <cell r="B1592" t="str">
            <v>Conduit Rigid Nonmetallic Schedule 40 3-Inch</v>
          </cell>
          <cell r="C1592" t="str">
            <v>LF</v>
          </cell>
        </row>
        <row r="1593">
          <cell r="A1593">
            <v>652.024</v>
          </cell>
          <cell r="B1593" t="str">
            <v>Conduit Rigid Nonmetallic Schedule 40 4-Inch</v>
          </cell>
          <cell r="C1593" t="str">
            <v>LF</v>
          </cell>
        </row>
        <row r="1594">
          <cell r="A1594">
            <v>652.03049999999996</v>
          </cell>
          <cell r="B1594" t="str">
            <v>Conduit Rigid Nonmetallic Schedule 80 3/4-Inch</v>
          </cell>
          <cell r="C1594" t="str">
            <v>LF</v>
          </cell>
        </row>
        <row r="1595">
          <cell r="A1595">
            <v>652.03099999999995</v>
          </cell>
          <cell r="B1595" t="str">
            <v>Conduit Rigid Nonmetallic Schedule 80 1-Inch</v>
          </cell>
          <cell r="C1595" t="str">
            <v>LF</v>
          </cell>
        </row>
        <row r="1596">
          <cell r="A1596">
            <v>652.03150000000005</v>
          </cell>
          <cell r="B1596" t="str">
            <v>Conduit Rigid Nonmetallic Schedule 80 1 1/4-Inch</v>
          </cell>
          <cell r="C1596" t="str">
            <v>LF</v>
          </cell>
        </row>
        <row r="1597">
          <cell r="A1597">
            <v>652.03200000000004</v>
          </cell>
          <cell r="B1597" t="str">
            <v>Conduit Rigid Nonmetallic Schedule 80 1 1/2-Inch</v>
          </cell>
          <cell r="C1597" t="str">
            <v>LF</v>
          </cell>
        </row>
        <row r="1598">
          <cell r="A1598">
            <v>652.03250000000003</v>
          </cell>
          <cell r="B1598" t="str">
            <v>Conduit Rigid Nonmetallic Schedule 80 2-Inch</v>
          </cell>
          <cell r="C1598" t="str">
            <v>LF</v>
          </cell>
        </row>
        <row r="1599">
          <cell r="A1599">
            <v>652.03300000000002</v>
          </cell>
          <cell r="B1599" t="str">
            <v>Conduit Rigid Nonmetallic Schedule 80 2 1/2-Inch</v>
          </cell>
          <cell r="C1599" t="str">
            <v>LF</v>
          </cell>
        </row>
        <row r="1600">
          <cell r="A1600">
            <v>652.0335</v>
          </cell>
          <cell r="B1600" t="str">
            <v>Conduit Rigid Nonmetallic Schedule 80 3-Inch</v>
          </cell>
          <cell r="C1600" t="str">
            <v>LF</v>
          </cell>
        </row>
        <row r="1601">
          <cell r="A1601">
            <v>652.03399999999999</v>
          </cell>
          <cell r="B1601" t="str">
            <v>Conduit Rigid Nonmetallic Schedule 80 4-Inch</v>
          </cell>
          <cell r="C1601" t="str">
            <v>LF</v>
          </cell>
        </row>
        <row r="1602">
          <cell r="A1602">
            <v>652.04049999999995</v>
          </cell>
          <cell r="B1602" t="str">
            <v>Conduit Reinforced Thermosetting Resin 2-Inch</v>
          </cell>
          <cell r="C1602" t="str">
            <v>LF</v>
          </cell>
        </row>
        <row r="1603">
          <cell r="A1603">
            <v>652.04100000000005</v>
          </cell>
          <cell r="B1603" t="str">
            <v>Conduit Reinforced Thermosetting Resin 3-Inch</v>
          </cell>
          <cell r="C1603" t="str">
            <v>LF</v>
          </cell>
        </row>
        <row r="1604">
          <cell r="A1604">
            <v>652.04150000000004</v>
          </cell>
          <cell r="B1604" t="str">
            <v>Conduit Reinforced Thermosetting Resin 4-Inch</v>
          </cell>
          <cell r="C1604" t="str">
            <v>LF</v>
          </cell>
        </row>
        <row r="1605">
          <cell r="A1605">
            <v>652.06050000000005</v>
          </cell>
          <cell r="B1605" t="str">
            <v>Conduit Special 2-Inch</v>
          </cell>
          <cell r="C1605" t="str">
            <v>LF</v>
          </cell>
        </row>
        <row r="1606">
          <cell r="A1606">
            <v>652.06100000000004</v>
          </cell>
          <cell r="B1606" t="str">
            <v>Conduit Special 2 1/2-Inch</v>
          </cell>
          <cell r="C1606" t="str">
            <v>LF</v>
          </cell>
        </row>
        <row r="1607">
          <cell r="A1607">
            <v>652.06150000000002</v>
          </cell>
          <cell r="B1607" t="str">
            <v>Conduit Special 3-Inch</v>
          </cell>
          <cell r="C1607" t="str">
            <v>LF</v>
          </cell>
        </row>
        <row r="1608">
          <cell r="A1608">
            <v>652.06200000000001</v>
          </cell>
          <cell r="B1608" t="str">
            <v>Conduit Special 3 1/2-Inch</v>
          </cell>
          <cell r="C1608" t="str">
            <v>LF</v>
          </cell>
        </row>
        <row r="1609">
          <cell r="A1609">
            <v>652.0625</v>
          </cell>
          <cell r="B1609" t="str">
            <v>Conduit Special 4-Inch</v>
          </cell>
          <cell r="C1609" t="str">
            <v>LF</v>
          </cell>
        </row>
        <row r="1610">
          <cell r="A1610">
            <v>652.06899999999996</v>
          </cell>
          <cell r="B1610" t="str">
            <v>Conduit Special (inch)</v>
          </cell>
          <cell r="C1610" t="str">
            <v>LF</v>
          </cell>
        </row>
        <row r="1611">
          <cell r="A1611">
            <v>652.08000000000004</v>
          </cell>
          <cell r="B1611" t="str">
            <v>Conduit Loop Detector</v>
          </cell>
          <cell r="C1611" t="str">
            <v>LF</v>
          </cell>
        </row>
        <row r="1612">
          <cell r="A1612">
            <v>652.09</v>
          </cell>
          <cell r="B1612" t="str">
            <v>Loop Detector Slots</v>
          </cell>
          <cell r="C1612" t="str">
            <v>LF</v>
          </cell>
        </row>
        <row r="1613">
          <cell r="A1613">
            <v>653.01049999999998</v>
          </cell>
          <cell r="B1613" t="str">
            <v>Pull Boxes Steel 12x24-Inch</v>
          </cell>
          <cell r="C1613" t="str">
            <v>EACH</v>
          </cell>
        </row>
        <row r="1614">
          <cell r="A1614">
            <v>653.01099999999997</v>
          </cell>
          <cell r="B1614" t="str">
            <v>Pull Boxes Steel 12x30-Inch</v>
          </cell>
          <cell r="C1614" t="str">
            <v>EACH</v>
          </cell>
        </row>
        <row r="1615">
          <cell r="A1615">
            <v>653.01149999999996</v>
          </cell>
          <cell r="B1615" t="str">
            <v>Pull Boxes Steel 12x36-Inch</v>
          </cell>
          <cell r="C1615" t="str">
            <v>EACH</v>
          </cell>
        </row>
        <row r="1616">
          <cell r="A1616">
            <v>653.01199999999994</v>
          </cell>
          <cell r="B1616" t="str">
            <v>Pull Boxes Steel 18x24-Inch</v>
          </cell>
          <cell r="C1616" t="str">
            <v>EACH</v>
          </cell>
        </row>
        <row r="1617">
          <cell r="A1617">
            <v>653.01250000000005</v>
          </cell>
          <cell r="B1617" t="str">
            <v>Pull Boxes Steel 18x30-Inch</v>
          </cell>
          <cell r="C1617" t="str">
            <v>EACH</v>
          </cell>
        </row>
        <row r="1618">
          <cell r="A1618">
            <v>653.01300000000003</v>
          </cell>
          <cell r="B1618" t="str">
            <v>Pull Boxes Steel 18x36-Inch</v>
          </cell>
          <cell r="C1618" t="str">
            <v>EACH</v>
          </cell>
        </row>
        <row r="1619">
          <cell r="A1619">
            <v>653.01350000000002</v>
          </cell>
          <cell r="B1619" t="str">
            <v>Pull Boxes Steel 24x36-Inch</v>
          </cell>
          <cell r="C1619" t="str">
            <v>EACH</v>
          </cell>
        </row>
        <row r="1620">
          <cell r="A1620">
            <v>653.01400000000001</v>
          </cell>
          <cell r="B1620" t="str">
            <v>Pull Boxes Steel 24x42-Inch</v>
          </cell>
          <cell r="C1620" t="str">
            <v>EACH</v>
          </cell>
        </row>
        <row r="1621">
          <cell r="A1621">
            <v>653.0145</v>
          </cell>
          <cell r="B1621" t="str">
            <v>Pull Boxes Steel 24x48-Inch</v>
          </cell>
          <cell r="C1621" t="str">
            <v>EACH</v>
          </cell>
        </row>
        <row r="1622">
          <cell r="A1622">
            <v>653.01800000000003</v>
          </cell>
          <cell r="B1622" t="str">
            <v>Pull Boxes Steel Communications (inch)</v>
          </cell>
          <cell r="C1622" t="str">
            <v>EACH</v>
          </cell>
        </row>
        <row r="1623">
          <cell r="A1623">
            <v>653.02080000000001</v>
          </cell>
          <cell r="B1623" t="str">
            <v>Junction Boxes 8x8x8-Inch</v>
          </cell>
          <cell r="C1623" t="str">
            <v>EACH</v>
          </cell>
        </row>
        <row r="1624">
          <cell r="A1624">
            <v>653.02200000000005</v>
          </cell>
          <cell r="B1624" t="str">
            <v>Junction Boxes 18X6X6-Inch</v>
          </cell>
          <cell r="C1624" t="str">
            <v>EACH</v>
          </cell>
        </row>
        <row r="1625">
          <cell r="A1625">
            <v>653.0222</v>
          </cell>
          <cell r="B1625" t="str">
            <v>Junction Boxes 18X12X6-Inch</v>
          </cell>
          <cell r="C1625" t="str">
            <v>EACH</v>
          </cell>
        </row>
        <row r="1626">
          <cell r="A1626">
            <v>653.09</v>
          </cell>
          <cell r="B1626" t="str">
            <v>Adjusting Pull Boxes</v>
          </cell>
          <cell r="C1626" t="str">
            <v>EACH</v>
          </cell>
        </row>
        <row r="1627">
          <cell r="A1627">
            <v>653.09050000000002</v>
          </cell>
          <cell r="B1627" t="str">
            <v>Removing Pull Boxes</v>
          </cell>
          <cell r="C1627" t="str">
            <v>EACH</v>
          </cell>
        </row>
        <row r="1628">
          <cell r="A1628">
            <v>654.01009999999997</v>
          </cell>
          <cell r="B1628" t="str">
            <v>Concrete Bases Type 1</v>
          </cell>
          <cell r="C1628" t="str">
            <v>EACH</v>
          </cell>
        </row>
        <row r="1629">
          <cell r="A1629">
            <v>654.01020000000005</v>
          </cell>
          <cell r="B1629" t="str">
            <v>Concrete Bases Type 2</v>
          </cell>
          <cell r="C1629" t="str">
            <v>EACH</v>
          </cell>
        </row>
        <row r="1630">
          <cell r="A1630">
            <v>654.01049999999998</v>
          </cell>
          <cell r="B1630" t="str">
            <v>Concrete Bases Type 5</v>
          </cell>
          <cell r="C1630" t="str">
            <v>EACH</v>
          </cell>
        </row>
        <row r="1631">
          <cell r="A1631">
            <v>654.01059999999995</v>
          </cell>
          <cell r="B1631" t="str">
            <v>Concrete Bases Type 6</v>
          </cell>
          <cell r="C1631" t="str">
            <v>EACH</v>
          </cell>
        </row>
        <row r="1632">
          <cell r="A1632">
            <v>654.01070000000004</v>
          </cell>
          <cell r="B1632" t="str">
            <v>Concrete Bases Type 7</v>
          </cell>
          <cell r="C1632" t="str">
            <v>EACH</v>
          </cell>
        </row>
        <row r="1633">
          <cell r="A1633">
            <v>654.01080000000002</v>
          </cell>
          <cell r="B1633" t="str">
            <v>Concrete Bases Type 8</v>
          </cell>
          <cell r="C1633" t="str">
            <v>EACH</v>
          </cell>
        </row>
        <row r="1634">
          <cell r="A1634">
            <v>654.01099999999997</v>
          </cell>
          <cell r="B1634" t="str">
            <v>Concrete Bases Type 10</v>
          </cell>
          <cell r="C1634" t="str">
            <v>EACH</v>
          </cell>
        </row>
        <row r="1635">
          <cell r="A1635">
            <v>654.01110000000006</v>
          </cell>
          <cell r="B1635" t="str">
            <v>Concrete Bases Type 11</v>
          </cell>
          <cell r="C1635" t="str">
            <v>EACH</v>
          </cell>
        </row>
        <row r="1636">
          <cell r="A1636">
            <v>654.01130000000001</v>
          </cell>
          <cell r="B1636" t="str">
            <v>Concrete Bases Type 13</v>
          </cell>
          <cell r="C1636" t="str">
            <v>EACH</v>
          </cell>
        </row>
        <row r="1637">
          <cell r="A1637">
            <v>654.02</v>
          </cell>
          <cell r="B1637" t="str">
            <v>Concrete Control Cabinet Bases Type 6</v>
          </cell>
          <cell r="C1637" t="str">
            <v>EACH</v>
          </cell>
        </row>
        <row r="1638">
          <cell r="A1638">
            <v>654.02049999999997</v>
          </cell>
          <cell r="B1638" t="str">
            <v>Concrete Control Cabinet Bases Type 7</v>
          </cell>
          <cell r="C1638" t="str">
            <v>EACH</v>
          </cell>
        </row>
        <row r="1639">
          <cell r="A1639">
            <v>654.02099999999996</v>
          </cell>
          <cell r="B1639" t="str">
            <v>Concrete Control Cabinet Bases Type 8</v>
          </cell>
          <cell r="C1639" t="str">
            <v>EACH</v>
          </cell>
        </row>
        <row r="1640">
          <cell r="A1640">
            <v>654.02149999999995</v>
          </cell>
          <cell r="B1640" t="str">
            <v>Concrete Control Cabinet Bases Type 9</v>
          </cell>
          <cell r="C1640" t="str">
            <v>EACH</v>
          </cell>
        </row>
        <row r="1641">
          <cell r="A1641">
            <v>654.02170000000001</v>
          </cell>
          <cell r="B1641" t="str">
            <v>Concrete Control Cabinet Bases Type 9 Special</v>
          </cell>
          <cell r="C1641" t="str">
            <v>EACH</v>
          </cell>
        </row>
        <row r="1642">
          <cell r="A1642">
            <v>654.02200000000005</v>
          </cell>
          <cell r="B1642" t="str">
            <v>Concrete Control Cabinet Bases Type 10</v>
          </cell>
          <cell r="C1642" t="str">
            <v>EACH</v>
          </cell>
        </row>
        <row r="1643">
          <cell r="A1643">
            <v>655.01020000000005</v>
          </cell>
          <cell r="B1643" t="str">
            <v>Cable In Duct 2-2 AWG</v>
          </cell>
          <cell r="C1643" t="str">
            <v>LF</v>
          </cell>
        </row>
        <row r="1644">
          <cell r="A1644">
            <v>655.0104</v>
          </cell>
          <cell r="B1644" t="str">
            <v>Cable In Duct 2-4 AWG</v>
          </cell>
          <cell r="C1644" t="str">
            <v>LF</v>
          </cell>
        </row>
        <row r="1645">
          <cell r="A1645">
            <v>655.01059999999995</v>
          </cell>
          <cell r="B1645" t="str">
            <v>Cable In Duct 2-6 AWG</v>
          </cell>
          <cell r="C1645" t="str">
            <v>LF</v>
          </cell>
        </row>
        <row r="1646">
          <cell r="A1646">
            <v>655.01080000000002</v>
          </cell>
          <cell r="B1646" t="str">
            <v>Cable In Duct 2-8 AWG</v>
          </cell>
          <cell r="C1646" t="str">
            <v>LF</v>
          </cell>
        </row>
        <row r="1647">
          <cell r="A1647">
            <v>655.01099999999997</v>
          </cell>
          <cell r="B1647" t="str">
            <v>Cable In Duct 2-10 AWG</v>
          </cell>
          <cell r="C1647" t="str">
            <v>LF</v>
          </cell>
        </row>
        <row r="1648">
          <cell r="A1648">
            <v>655.01220000000001</v>
          </cell>
          <cell r="B1648" t="str">
            <v>Cable In Duct 3-2 AWG</v>
          </cell>
          <cell r="C1648" t="str">
            <v>LF</v>
          </cell>
        </row>
        <row r="1649">
          <cell r="A1649">
            <v>655.01239999999996</v>
          </cell>
          <cell r="B1649" t="str">
            <v>Cable In Duct 3-4 AWG</v>
          </cell>
          <cell r="C1649" t="str">
            <v>LF</v>
          </cell>
        </row>
        <row r="1650">
          <cell r="A1650">
            <v>655.01260000000002</v>
          </cell>
          <cell r="B1650" t="str">
            <v>Cable In Duct 3-6 AWG</v>
          </cell>
          <cell r="C1650" t="str">
            <v>LF</v>
          </cell>
        </row>
        <row r="1651">
          <cell r="A1651">
            <v>655.01279999999997</v>
          </cell>
          <cell r="B1651" t="str">
            <v>Cable In Duct 3-8 AWG</v>
          </cell>
          <cell r="C1651" t="str">
            <v>LF</v>
          </cell>
        </row>
        <row r="1652">
          <cell r="A1652">
            <v>655.01300000000003</v>
          </cell>
          <cell r="B1652" t="str">
            <v>Cable In Duct 3-10 AWG</v>
          </cell>
          <cell r="C1652" t="str">
            <v>LF</v>
          </cell>
        </row>
        <row r="1653">
          <cell r="A1653">
            <v>655.01440000000002</v>
          </cell>
          <cell r="B1653" t="str">
            <v>Cable In Duct 4-4 AWG</v>
          </cell>
          <cell r="C1653" t="str">
            <v>LF</v>
          </cell>
        </row>
        <row r="1654">
          <cell r="A1654">
            <v>655.01459999999997</v>
          </cell>
          <cell r="B1654" t="str">
            <v>Cable In Duct 4-6 AWG</v>
          </cell>
          <cell r="C1654" t="str">
            <v>LF</v>
          </cell>
        </row>
        <row r="1655">
          <cell r="A1655">
            <v>655.01480000000004</v>
          </cell>
          <cell r="B1655" t="str">
            <v>Cable In Duct 4-8 AWG</v>
          </cell>
          <cell r="C1655" t="str">
            <v>LF</v>
          </cell>
        </row>
        <row r="1656">
          <cell r="A1656">
            <v>655.01499999999999</v>
          </cell>
          <cell r="B1656" t="str">
            <v>Cable In Duct 4-10 AWG</v>
          </cell>
          <cell r="C1656" t="str">
            <v>LF</v>
          </cell>
        </row>
        <row r="1657">
          <cell r="A1657">
            <v>655.02049999999997</v>
          </cell>
          <cell r="B1657" t="str">
            <v>Cable Traffic Signal 3-12 AWG</v>
          </cell>
          <cell r="C1657" t="str">
            <v>LF</v>
          </cell>
        </row>
        <row r="1658">
          <cell r="A1658">
            <v>655.02099999999996</v>
          </cell>
          <cell r="B1658" t="str">
            <v>Cable Traffic Signal 3-14 AWG</v>
          </cell>
          <cell r="C1658" t="str">
            <v>LF</v>
          </cell>
        </row>
        <row r="1659">
          <cell r="A1659">
            <v>655.02149999999995</v>
          </cell>
          <cell r="B1659" t="str">
            <v>Cable Traffic Signal 4-12 AWG</v>
          </cell>
          <cell r="C1659" t="str">
            <v>LF</v>
          </cell>
        </row>
        <row r="1660">
          <cell r="A1660">
            <v>655.02200000000005</v>
          </cell>
          <cell r="B1660" t="str">
            <v>Cable Traffic Signal 4-14 AWG</v>
          </cell>
          <cell r="C1660" t="str">
            <v>LF</v>
          </cell>
        </row>
        <row r="1661">
          <cell r="A1661">
            <v>655.02229999999997</v>
          </cell>
          <cell r="B1661" t="str">
            <v>Cable Traffic Signal 5-10 AWG</v>
          </cell>
          <cell r="C1661" t="str">
            <v>LF</v>
          </cell>
        </row>
        <row r="1662">
          <cell r="A1662">
            <v>655.02250000000004</v>
          </cell>
          <cell r="B1662" t="str">
            <v>Cable Traffic Signal 5-12 AWG</v>
          </cell>
          <cell r="C1662" t="str">
            <v>LF</v>
          </cell>
        </row>
        <row r="1663">
          <cell r="A1663">
            <v>655.02300000000002</v>
          </cell>
          <cell r="B1663" t="str">
            <v>Cable Traffic Signal 5-14 AWG</v>
          </cell>
          <cell r="C1663" t="str">
            <v>LF</v>
          </cell>
        </row>
        <row r="1664">
          <cell r="A1664">
            <v>655.02329999999995</v>
          </cell>
          <cell r="B1664" t="str">
            <v>Cable Traffic Signal 7-10 AWG</v>
          </cell>
          <cell r="C1664" t="str">
            <v>LF</v>
          </cell>
        </row>
        <row r="1665">
          <cell r="A1665">
            <v>655.02350000000001</v>
          </cell>
          <cell r="B1665" t="str">
            <v>Cable Traffic Signal 7-12 AWG</v>
          </cell>
          <cell r="C1665" t="str">
            <v>LF</v>
          </cell>
        </row>
        <row r="1666">
          <cell r="A1666">
            <v>655.024</v>
          </cell>
          <cell r="B1666" t="str">
            <v>Cable Traffic Signal 7-14 AWG</v>
          </cell>
          <cell r="C1666" t="str">
            <v>LF</v>
          </cell>
        </row>
        <row r="1667">
          <cell r="A1667">
            <v>655.02430000000004</v>
          </cell>
          <cell r="B1667" t="str">
            <v>Cable Traffic Signal 9-10 AWG</v>
          </cell>
          <cell r="C1667" t="str">
            <v>LF</v>
          </cell>
        </row>
        <row r="1668">
          <cell r="A1668">
            <v>655.02449999999999</v>
          </cell>
          <cell r="B1668" t="str">
            <v>Cable Traffic Signal 9-12 AWG</v>
          </cell>
          <cell r="C1668" t="str">
            <v>LF</v>
          </cell>
        </row>
        <row r="1669">
          <cell r="A1669">
            <v>655.02499999999998</v>
          </cell>
          <cell r="B1669" t="str">
            <v>Cable Traffic Signal 9-14 AWG</v>
          </cell>
          <cell r="C1669" t="str">
            <v>LF</v>
          </cell>
        </row>
        <row r="1670">
          <cell r="A1670">
            <v>655.02530000000002</v>
          </cell>
          <cell r="B1670" t="str">
            <v>Cable Traffic Signal 12-10 AWG</v>
          </cell>
          <cell r="C1670" t="str">
            <v>LF</v>
          </cell>
        </row>
        <row r="1671">
          <cell r="A1671">
            <v>655.02549999999997</v>
          </cell>
          <cell r="B1671" t="str">
            <v>Cable Traffic Signal 12-12 AWG</v>
          </cell>
          <cell r="C1671" t="str">
            <v>LF</v>
          </cell>
        </row>
        <row r="1672">
          <cell r="A1672">
            <v>655.02599999999995</v>
          </cell>
          <cell r="B1672" t="str">
            <v>Cable Traffic Signal 12-14 AWG</v>
          </cell>
          <cell r="C1672" t="str">
            <v>LF</v>
          </cell>
        </row>
        <row r="1673">
          <cell r="A1673">
            <v>655.02629999999999</v>
          </cell>
          <cell r="B1673" t="str">
            <v>Cable Traffic Signal 15-10 AWG</v>
          </cell>
          <cell r="C1673" t="str">
            <v>LF</v>
          </cell>
        </row>
        <row r="1674">
          <cell r="A1674">
            <v>655.02650000000006</v>
          </cell>
          <cell r="B1674" t="str">
            <v>Cable Traffic Signal 15-12 AWG</v>
          </cell>
          <cell r="C1674" t="str">
            <v>LF</v>
          </cell>
        </row>
        <row r="1675">
          <cell r="A1675">
            <v>655.02700000000004</v>
          </cell>
          <cell r="B1675" t="str">
            <v>Cable Traffic Signal 15-14 AWG</v>
          </cell>
          <cell r="C1675" t="str">
            <v>LF</v>
          </cell>
        </row>
        <row r="1676">
          <cell r="A1676">
            <v>655.02729999999997</v>
          </cell>
          <cell r="B1676" t="str">
            <v>Cable Traffic Signal 19-10 AWG</v>
          </cell>
          <cell r="C1676" t="str">
            <v>LF</v>
          </cell>
        </row>
        <row r="1677">
          <cell r="A1677">
            <v>655.02750000000003</v>
          </cell>
          <cell r="B1677" t="str">
            <v>Cable Traffic Signal 19-12 AWG</v>
          </cell>
          <cell r="C1677" t="str">
            <v>LF</v>
          </cell>
        </row>
        <row r="1678">
          <cell r="A1678">
            <v>655.02800000000002</v>
          </cell>
          <cell r="B1678" t="str">
            <v>Cable Traffic Signal 19-14 AWG</v>
          </cell>
          <cell r="C1678" t="str">
            <v>LF</v>
          </cell>
        </row>
        <row r="1679">
          <cell r="A1679">
            <v>655.02850000000001</v>
          </cell>
          <cell r="B1679" t="str">
            <v>Cable Traffic Signal 2 1-12 AWG</v>
          </cell>
          <cell r="C1679" t="str">
            <v>LF</v>
          </cell>
        </row>
        <row r="1680">
          <cell r="A1680">
            <v>655.029</v>
          </cell>
          <cell r="B1680" t="str">
            <v>Cable Traffic Signal 2 1-14 AWG</v>
          </cell>
          <cell r="C1680" t="str">
            <v>LF</v>
          </cell>
        </row>
        <row r="1681">
          <cell r="A1681">
            <v>655.03049999999996</v>
          </cell>
          <cell r="B1681" t="str">
            <v>Cable Type UF 2-12 AWG Grounded</v>
          </cell>
          <cell r="C1681" t="str">
            <v>LF</v>
          </cell>
        </row>
        <row r="1682">
          <cell r="A1682">
            <v>655.03099999999995</v>
          </cell>
          <cell r="B1682" t="str">
            <v>Cable Type UF 2-12 AWG</v>
          </cell>
          <cell r="C1682" t="str">
            <v>LF</v>
          </cell>
        </row>
        <row r="1683">
          <cell r="A1683">
            <v>655.03150000000005</v>
          </cell>
          <cell r="B1683" t="str">
            <v>Cable Type UF 2-10 AWG</v>
          </cell>
          <cell r="C1683" t="str">
            <v>LF</v>
          </cell>
        </row>
        <row r="1684">
          <cell r="A1684">
            <v>655.03200000000004</v>
          </cell>
          <cell r="B1684" t="str">
            <v>Cable Type UF 2-10 AWG Grounded</v>
          </cell>
          <cell r="C1684" t="str">
            <v>LF</v>
          </cell>
        </row>
        <row r="1685">
          <cell r="A1685">
            <v>655.04</v>
          </cell>
          <cell r="B1685" t="str">
            <v>Communication Cable Plowed</v>
          </cell>
          <cell r="C1685" t="str">
            <v>LF</v>
          </cell>
        </row>
        <row r="1686">
          <cell r="A1686">
            <v>655.04049999999995</v>
          </cell>
          <cell r="B1686" t="str">
            <v>Communication Cable Trenched</v>
          </cell>
          <cell r="C1686" t="str">
            <v>LF</v>
          </cell>
        </row>
        <row r="1687">
          <cell r="A1687">
            <v>655.04100000000005</v>
          </cell>
          <cell r="B1687" t="str">
            <v>Communication Cable Installed in Conduit</v>
          </cell>
          <cell r="C1687" t="str">
            <v>LF</v>
          </cell>
        </row>
        <row r="1688">
          <cell r="A1688">
            <v>655.05050000000006</v>
          </cell>
          <cell r="B1688" t="str">
            <v>Electrical Wire Traffic Signals 14 AWG</v>
          </cell>
          <cell r="C1688" t="str">
            <v>LF</v>
          </cell>
        </row>
        <row r="1689">
          <cell r="A1689">
            <v>655.05100000000004</v>
          </cell>
          <cell r="B1689" t="str">
            <v>Electrical Wire Traffic Signals 12 AWG</v>
          </cell>
          <cell r="C1689" t="str">
            <v>LF</v>
          </cell>
        </row>
        <row r="1690">
          <cell r="A1690">
            <v>655.05150000000003</v>
          </cell>
          <cell r="B1690" t="str">
            <v>Electrical Wire Traffic Signals 10 AWG</v>
          </cell>
          <cell r="C1690" t="str">
            <v>LF</v>
          </cell>
        </row>
        <row r="1691">
          <cell r="A1691">
            <v>655.05200000000002</v>
          </cell>
          <cell r="B1691" t="str">
            <v>Electrical Wire Traffic Signals 8 AWG</v>
          </cell>
          <cell r="C1691" t="str">
            <v>LF</v>
          </cell>
        </row>
        <row r="1692">
          <cell r="A1692">
            <v>655.05250000000001</v>
          </cell>
          <cell r="B1692" t="str">
            <v>Electrical Wire Traffic Signals 6 AWG</v>
          </cell>
          <cell r="C1692" t="str">
            <v>LF</v>
          </cell>
        </row>
        <row r="1693">
          <cell r="A1693">
            <v>655.053</v>
          </cell>
          <cell r="B1693" t="str">
            <v>Electrical Wire Traffic Signals 4 AWG</v>
          </cell>
          <cell r="C1693" t="str">
            <v>LF</v>
          </cell>
        </row>
        <row r="1694">
          <cell r="A1694">
            <v>655.05349999999999</v>
          </cell>
          <cell r="B1694" t="str">
            <v>Electrical Wire Traffic Signals 2 AWG</v>
          </cell>
          <cell r="C1694" t="str">
            <v>LF</v>
          </cell>
        </row>
        <row r="1695">
          <cell r="A1695">
            <v>655.06100000000004</v>
          </cell>
          <cell r="B1695" t="str">
            <v>Electrical Wire Lighting 12 AWG</v>
          </cell>
          <cell r="C1695" t="str">
            <v>LF</v>
          </cell>
        </row>
        <row r="1696">
          <cell r="A1696">
            <v>655.06150000000002</v>
          </cell>
          <cell r="B1696" t="str">
            <v>Electrical Wire Lighting 10 AWG</v>
          </cell>
          <cell r="C1696" t="str">
            <v>LF</v>
          </cell>
        </row>
        <row r="1697">
          <cell r="A1697">
            <v>655.06200000000001</v>
          </cell>
          <cell r="B1697" t="str">
            <v>Electrical Wire Lighting 8 AWG</v>
          </cell>
          <cell r="C1697" t="str">
            <v>LF</v>
          </cell>
        </row>
        <row r="1698">
          <cell r="A1698">
            <v>655.0625</v>
          </cell>
          <cell r="B1698" t="str">
            <v>Electrical Wire Lighting 6 AWG</v>
          </cell>
          <cell r="C1698" t="str">
            <v>LF</v>
          </cell>
        </row>
        <row r="1699">
          <cell r="A1699">
            <v>655.06299999999999</v>
          </cell>
          <cell r="B1699" t="str">
            <v>Electrical Wire Lighting 4 AWG</v>
          </cell>
          <cell r="C1699" t="str">
            <v>LF</v>
          </cell>
        </row>
        <row r="1700">
          <cell r="A1700">
            <v>655.06349999999998</v>
          </cell>
          <cell r="B1700" t="str">
            <v>Electrical Wire Lighting 2 AWG</v>
          </cell>
          <cell r="C1700" t="str">
            <v>LF</v>
          </cell>
        </row>
        <row r="1701">
          <cell r="A1701">
            <v>655.06399999999996</v>
          </cell>
          <cell r="B1701" t="str">
            <v>Electrical Wire Lighting 1 AWG</v>
          </cell>
          <cell r="C1701" t="str">
            <v>LF</v>
          </cell>
        </row>
        <row r="1702">
          <cell r="A1702">
            <v>655.06449999999995</v>
          </cell>
          <cell r="B1702" t="str">
            <v>Electrical Wire Lighting 1/0 AWG</v>
          </cell>
          <cell r="C1702" t="str">
            <v>LF</v>
          </cell>
        </row>
        <row r="1703">
          <cell r="A1703">
            <v>655.07000000000005</v>
          </cell>
          <cell r="B1703" t="str">
            <v>Loop Detector Lead In Cable</v>
          </cell>
          <cell r="C1703" t="str">
            <v>LF</v>
          </cell>
        </row>
        <row r="1704">
          <cell r="A1704">
            <v>655.08000000000004</v>
          </cell>
          <cell r="B1704" t="str">
            <v>Loop Detector Wire</v>
          </cell>
          <cell r="C1704" t="str">
            <v>LF</v>
          </cell>
        </row>
        <row r="1705">
          <cell r="A1705">
            <v>655.09</v>
          </cell>
          <cell r="B1705" t="str">
            <v>Traffic Signal EVP Detector Cable</v>
          </cell>
          <cell r="C1705" t="str">
            <v>LF</v>
          </cell>
        </row>
        <row r="1706">
          <cell r="A1706">
            <v>656.01</v>
          </cell>
          <cell r="B1706" t="str">
            <v>Electrical Service Meter Socket (location)</v>
          </cell>
          <cell r="C1706" t="str">
            <v>LS</v>
          </cell>
        </row>
        <row r="1707">
          <cell r="A1707">
            <v>656.02</v>
          </cell>
          <cell r="B1707" t="str">
            <v>Electrical Service Meter Breaker Pedestal (location)</v>
          </cell>
          <cell r="C1707" t="str">
            <v>LS</v>
          </cell>
        </row>
        <row r="1708">
          <cell r="A1708">
            <v>656.03</v>
          </cell>
          <cell r="B1708" t="str">
            <v>Electrical Service Unmetered (location)</v>
          </cell>
          <cell r="C1708" t="str">
            <v>LS</v>
          </cell>
        </row>
        <row r="1709">
          <cell r="A1709">
            <v>656.04</v>
          </cell>
          <cell r="B1709" t="str">
            <v>Electrical Service Main Lugs Only Meter Pedestal (location)</v>
          </cell>
          <cell r="C1709" t="str">
            <v>LS</v>
          </cell>
        </row>
        <row r="1710">
          <cell r="A1710">
            <v>656.05</v>
          </cell>
          <cell r="B1710" t="str">
            <v>Electrical Service Breaker Disconnect Box (location)</v>
          </cell>
          <cell r="C1710" t="str">
            <v>LS</v>
          </cell>
        </row>
        <row r="1711">
          <cell r="A1711">
            <v>657.01</v>
          </cell>
          <cell r="B1711" t="str">
            <v>Pedestal Bases</v>
          </cell>
          <cell r="C1711" t="str">
            <v>EACH</v>
          </cell>
        </row>
        <row r="1712">
          <cell r="A1712">
            <v>657.02049999999997</v>
          </cell>
          <cell r="B1712" t="str">
            <v>Transformer Bases Breakaway 13-15 Inch Bolt Circle</v>
          </cell>
          <cell r="C1712" t="str">
            <v>EACH</v>
          </cell>
        </row>
        <row r="1713">
          <cell r="A1713">
            <v>657.02099999999996</v>
          </cell>
          <cell r="B1713" t="str">
            <v>Transformer Bases Breakaway 15-17 Inch Bolt Circle</v>
          </cell>
          <cell r="C1713" t="str">
            <v>EACH</v>
          </cell>
        </row>
        <row r="1714">
          <cell r="A1714">
            <v>657.02549999999997</v>
          </cell>
          <cell r="B1714" t="str">
            <v xml:space="preserve">Transformer Bases Breakaway 11 1/2-Inch Bolt Circle </v>
          </cell>
          <cell r="C1714" t="str">
            <v>EACH</v>
          </cell>
        </row>
        <row r="1715">
          <cell r="A1715">
            <v>657.03049999999996</v>
          </cell>
          <cell r="B1715" t="str">
            <v xml:space="preserve">Poles Type 2 </v>
          </cell>
          <cell r="C1715" t="str">
            <v>EACH</v>
          </cell>
        </row>
        <row r="1716">
          <cell r="A1716">
            <v>657.03099999999995</v>
          </cell>
          <cell r="B1716" t="str">
            <v xml:space="preserve">Poles Type 3 </v>
          </cell>
          <cell r="C1716" t="str">
            <v>EACH</v>
          </cell>
        </row>
        <row r="1717">
          <cell r="A1717">
            <v>657.03150000000005</v>
          </cell>
          <cell r="B1717" t="str">
            <v xml:space="preserve">Poles Type 4 </v>
          </cell>
          <cell r="C1717" t="str">
            <v>EACH</v>
          </cell>
        </row>
        <row r="1718">
          <cell r="A1718">
            <v>657.03210000000001</v>
          </cell>
          <cell r="B1718" t="str">
            <v>Poles Type 5-Steel</v>
          </cell>
          <cell r="C1718" t="str">
            <v>EACH</v>
          </cell>
        </row>
        <row r="1719">
          <cell r="A1719">
            <v>657.03219999999999</v>
          </cell>
          <cell r="B1719" t="str">
            <v>Poles Type 5-Aluminum</v>
          </cell>
          <cell r="C1719" t="str">
            <v>EACH</v>
          </cell>
        </row>
        <row r="1720">
          <cell r="A1720">
            <v>657.0326</v>
          </cell>
          <cell r="B1720" t="str">
            <v>Poles Type 6-Steel</v>
          </cell>
          <cell r="C1720" t="str">
            <v>EACH</v>
          </cell>
        </row>
        <row r="1721">
          <cell r="A1721">
            <v>657.03269999999998</v>
          </cell>
          <cell r="B1721" t="str">
            <v>Poles Type 6-Aluminum</v>
          </cell>
          <cell r="C1721" t="str">
            <v>EACH</v>
          </cell>
        </row>
        <row r="1722">
          <cell r="A1722">
            <v>657.03300000000002</v>
          </cell>
          <cell r="B1722" t="str">
            <v xml:space="preserve">Poles Type 7 </v>
          </cell>
          <cell r="C1722" t="str">
            <v>EACH</v>
          </cell>
        </row>
        <row r="1723">
          <cell r="A1723">
            <v>657.03359999999998</v>
          </cell>
          <cell r="B1723" t="str">
            <v xml:space="preserve">Poles Type 17-Steel </v>
          </cell>
          <cell r="C1723" t="str">
            <v>EACH</v>
          </cell>
        </row>
        <row r="1724">
          <cell r="A1724">
            <v>657.03369999999995</v>
          </cell>
          <cell r="B1724" t="str">
            <v xml:space="preserve">Poles Type 17-Aluminum </v>
          </cell>
          <cell r="C1724" t="str">
            <v>EACH</v>
          </cell>
        </row>
        <row r="1725">
          <cell r="A1725">
            <v>657.03750000000002</v>
          </cell>
          <cell r="B1725" t="str">
            <v>Poles Type A</v>
          </cell>
          <cell r="C1725" t="str">
            <v>EACH</v>
          </cell>
        </row>
        <row r="1726">
          <cell r="A1726">
            <v>657.03800000000001</v>
          </cell>
          <cell r="B1726" t="str">
            <v>Poles Type E</v>
          </cell>
          <cell r="C1726" t="str">
            <v>EACH</v>
          </cell>
        </row>
        <row r="1727">
          <cell r="A1727">
            <v>657.04049999999995</v>
          </cell>
          <cell r="B1727" t="str">
            <v>Traffic Signal Standards Aluminum 3.5-FT</v>
          </cell>
          <cell r="C1727" t="str">
            <v>EACH</v>
          </cell>
        </row>
        <row r="1728">
          <cell r="A1728">
            <v>657.04100000000005</v>
          </cell>
          <cell r="B1728" t="str">
            <v>Traffic Signal Standards Aluminum 9-FT</v>
          </cell>
          <cell r="C1728" t="str">
            <v>EACH</v>
          </cell>
        </row>
        <row r="1729">
          <cell r="A1729">
            <v>657.04150000000004</v>
          </cell>
          <cell r="B1729" t="str">
            <v>Traffic Signal Standards Aluminum 11-FT</v>
          </cell>
          <cell r="C1729" t="str">
            <v>EACH</v>
          </cell>
        </row>
        <row r="1730">
          <cell r="A1730">
            <v>657.04200000000003</v>
          </cell>
          <cell r="B1730" t="str">
            <v>Traffic Signal Standards Aluminum 13-FT</v>
          </cell>
          <cell r="C1730" t="str">
            <v>EACH</v>
          </cell>
        </row>
        <row r="1731">
          <cell r="A1731">
            <v>657.04250000000002</v>
          </cell>
          <cell r="B1731" t="str">
            <v>Traffic Signal Standards Aluminum 15-FT</v>
          </cell>
          <cell r="C1731" t="str">
            <v>EACH</v>
          </cell>
        </row>
        <row r="1732">
          <cell r="A1732">
            <v>657.04300000000001</v>
          </cell>
          <cell r="B1732" t="str">
            <v>Traffic Signal Standards Aluminum 10-FT</v>
          </cell>
          <cell r="C1732" t="str">
            <v>EACH</v>
          </cell>
        </row>
        <row r="1733">
          <cell r="A1733">
            <v>657.05849999999998</v>
          </cell>
          <cell r="B1733" t="str">
            <v>Trombone Arms 15-FT</v>
          </cell>
          <cell r="C1733" t="str">
            <v>EACH</v>
          </cell>
        </row>
        <row r="1734">
          <cell r="A1734">
            <v>657.05899999999997</v>
          </cell>
          <cell r="B1734" t="str">
            <v>Trombone Arms 20-FT</v>
          </cell>
          <cell r="C1734" t="str">
            <v>EACH</v>
          </cell>
        </row>
        <row r="1735">
          <cell r="A1735">
            <v>657.05949999999996</v>
          </cell>
          <cell r="B1735" t="str">
            <v>Trombone Arms 25-FT</v>
          </cell>
          <cell r="C1735" t="str">
            <v>EACH</v>
          </cell>
        </row>
        <row r="1736">
          <cell r="A1736">
            <v>657.06050000000005</v>
          </cell>
          <cell r="B1736" t="str">
            <v>Luminaire Arms Single Member 4 1/2-Inch Clamp 4-FT</v>
          </cell>
          <cell r="C1736" t="str">
            <v>EACH</v>
          </cell>
        </row>
        <row r="1737">
          <cell r="A1737">
            <v>657.06089999999995</v>
          </cell>
          <cell r="B1737" t="str">
            <v>Luminaire Arms Single Member 4-Inch Clamp 6-FT</v>
          </cell>
          <cell r="C1737" t="str">
            <v>EACH</v>
          </cell>
        </row>
        <row r="1738">
          <cell r="A1738">
            <v>657.06100000000004</v>
          </cell>
          <cell r="B1738" t="str">
            <v>Luminaire Arms Single Member 4 1/2-Inch Clamp 6-FT</v>
          </cell>
          <cell r="C1738" t="str">
            <v>EACH</v>
          </cell>
        </row>
        <row r="1739">
          <cell r="A1739">
            <v>657.06140000000005</v>
          </cell>
          <cell r="B1739" t="str">
            <v>Luminaire Arms Single Member 4-Inch Clamp 8-FT</v>
          </cell>
          <cell r="C1739" t="str">
            <v>EACH</v>
          </cell>
        </row>
        <row r="1740">
          <cell r="A1740">
            <v>657.06150000000002</v>
          </cell>
          <cell r="B1740" t="str">
            <v>Luminaire Arms Single Member 4 1/2-Inch Clamp 8-FT</v>
          </cell>
          <cell r="C1740" t="str">
            <v>EACH</v>
          </cell>
        </row>
        <row r="1741">
          <cell r="A1741">
            <v>657.06200000000001</v>
          </cell>
          <cell r="B1741" t="str">
            <v>Luminaire Arms Single Member 6-Inch Clamp 4-FT</v>
          </cell>
          <cell r="C1741" t="str">
            <v>EACH</v>
          </cell>
        </row>
        <row r="1742">
          <cell r="A1742">
            <v>657.0625</v>
          </cell>
          <cell r="B1742" t="str">
            <v>Luminaire Arms Single Member 6-Inch Clamp 6-FT</v>
          </cell>
          <cell r="C1742" t="str">
            <v>EACH</v>
          </cell>
        </row>
        <row r="1743">
          <cell r="A1743">
            <v>657.06299999999999</v>
          </cell>
          <cell r="B1743" t="str">
            <v>Luminaire Arms Single Member 6-Inch Clamp 8-FT</v>
          </cell>
          <cell r="C1743" t="str">
            <v>EACH</v>
          </cell>
        </row>
        <row r="1744">
          <cell r="A1744">
            <v>657.06349999999998</v>
          </cell>
          <cell r="B1744" t="str">
            <v>Luminaire Arms Single Member 6-Inch Clamp 10-FT</v>
          </cell>
          <cell r="C1744" t="str">
            <v>EACH</v>
          </cell>
        </row>
        <row r="1745">
          <cell r="A1745">
            <v>657.06399999999996</v>
          </cell>
          <cell r="B1745" t="str">
            <v>Luminaire Arms Single Member 6-Inch Clamp 15-FT</v>
          </cell>
          <cell r="C1745" t="str">
            <v>EACH</v>
          </cell>
        </row>
        <row r="1746">
          <cell r="A1746">
            <v>657.07039999999995</v>
          </cell>
          <cell r="B1746" t="str">
            <v>Luminaire Arms Truss Type 4-Inch Clamp 10-FT</v>
          </cell>
          <cell r="C1746" t="str">
            <v>EACH</v>
          </cell>
        </row>
        <row r="1747">
          <cell r="A1747">
            <v>657.07050000000004</v>
          </cell>
          <cell r="B1747" t="str">
            <v>Luminaire Arms Truss Type 4 1/2-Inch Clamp 10-FT</v>
          </cell>
          <cell r="C1747" t="str">
            <v>EACH</v>
          </cell>
        </row>
        <row r="1748">
          <cell r="A1748">
            <v>657.07090000000005</v>
          </cell>
          <cell r="B1748" t="str">
            <v>Luminaire Arms Truss Type 4-Inch Clamp 12-FT</v>
          </cell>
          <cell r="C1748" t="str">
            <v>EACH</v>
          </cell>
        </row>
        <row r="1749">
          <cell r="A1749">
            <v>657.07100000000003</v>
          </cell>
          <cell r="B1749" t="str">
            <v>Luminaire Arms Truss Type 4 1/2-Inch Clamp 12-FT</v>
          </cell>
          <cell r="C1749" t="str">
            <v>EACH</v>
          </cell>
        </row>
        <row r="1750">
          <cell r="A1750">
            <v>657.07140000000004</v>
          </cell>
          <cell r="B1750" t="str">
            <v>Luminaire Arms Truss Type 4-Inch Clamp 15-FT</v>
          </cell>
          <cell r="C1750" t="str">
            <v>EACH</v>
          </cell>
        </row>
        <row r="1751">
          <cell r="A1751">
            <v>657.07150000000001</v>
          </cell>
          <cell r="B1751" t="str">
            <v>Luminaire Arms Truss Type 4 1/2-Inch Clamp 15-FT</v>
          </cell>
          <cell r="C1751" t="str">
            <v>EACH</v>
          </cell>
        </row>
        <row r="1752">
          <cell r="A1752">
            <v>657.072</v>
          </cell>
          <cell r="B1752" t="str">
            <v>Luminaire Arms Truss Type 6-Inch Clamp 20-FT</v>
          </cell>
          <cell r="C1752" t="str">
            <v>EACH</v>
          </cell>
        </row>
        <row r="1753">
          <cell r="A1753">
            <v>657.07249999999999</v>
          </cell>
          <cell r="B1753" t="str">
            <v>Luminaire Arms Truss Type 6-Inch Clamp 15-FT</v>
          </cell>
          <cell r="C1753" t="str">
            <v>EACH</v>
          </cell>
        </row>
        <row r="1754">
          <cell r="A1754">
            <v>657.07299999999998</v>
          </cell>
          <cell r="B1754" t="str">
            <v>Luminaire Arms Truss Type 6-Inch Clamp 12-FT</v>
          </cell>
          <cell r="C1754" t="str">
            <v>EACH</v>
          </cell>
        </row>
        <row r="1755">
          <cell r="A1755">
            <v>657.07349999999997</v>
          </cell>
          <cell r="B1755" t="str">
            <v>Luminaire Arms Truss Type 6-Inch Clamp 10-FT</v>
          </cell>
          <cell r="C1755" t="str">
            <v>EACH</v>
          </cell>
        </row>
        <row r="1756">
          <cell r="A1756">
            <v>657.1345</v>
          </cell>
          <cell r="B1756" t="str">
            <v>Install Poles Type 9</v>
          </cell>
          <cell r="C1756" t="str">
            <v>EACH</v>
          </cell>
        </row>
        <row r="1757">
          <cell r="A1757">
            <v>657.13499999999999</v>
          </cell>
          <cell r="B1757" t="str">
            <v>Install Poles Type 10</v>
          </cell>
          <cell r="C1757" t="str">
            <v>EACH</v>
          </cell>
        </row>
        <row r="1758">
          <cell r="A1758">
            <v>657.13549999999998</v>
          </cell>
          <cell r="B1758" t="str">
            <v>Install Poles Type 12</v>
          </cell>
          <cell r="C1758" t="str">
            <v>EACH</v>
          </cell>
        </row>
        <row r="1759">
          <cell r="A1759">
            <v>657.13599999999997</v>
          </cell>
          <cell r="B1759" t="str">
            <v>Install Poles Type 13</v>
          </cell>
          <cell r="C1759" t="str">
            <v>EACH</v>
          </cell>
        </row>
        <row r="1760">
          <cell r="A1760">
            <v>657.15150000000006</v>
          </cell>
          <cell r="B1760" t="str">
            <v>Install Monotube Arms 15-FT</v>
          </cell>
          <cell r="C1760" t="str">
            <v>EACH</v>
          </cell>
        </row>
        <row r="1761">
          <cell r="A1761">
            <v>657.15200000000004</v>
          </cell>
          <cell r="B1761" t="str">
            <v>Install Monotube Arms 20-FT</v>
          </cell>
          <cell r="C1761" t="str">
            <v>EACH</v>
          </cell>
        </row>
        <row r="1762">
          <cell r="A1762">
            <v>657.15250000000003</v>
          </cell>
          <cell r="B1762" t="str">
            <v>Install Monotube Arms 25-FT</v>
          </cell>
          <cell r="C1762" t="str">
            <v>EACH</v>
          </cell>
        </row>
        <row r="1763">
          <cell r="A1763">
            <v>657.15300000000002</v>
          </cell>
          <cell r="B1763" t="str">
            <v>Install Monotube Arms 30-FT</v>
          </cell>
          <cell r="C1763" t="str">
            <v>EACH</v>
          </cell>
        </row>
        <row r="1764">
          <cell r="A1764">
            <v>657.15350000000001</v>
          </cell>
          <cell r="B1764" t="str">
            <v>Install Monotube Arms 35-FT</v>
          </cell>
          <cell r="C1764" t="str">
            <v>EACH</v>
          </cell>
        </row>
        <row r="1765">
          <cell r="A1765">
            <v>657.154</v>
          </cell>
          <cell r="B1765" t="str">
            <v>Install Monotube Arms 40-FT</v>
          </cell>
          <cell r="C1765" t="str">
            <v>EACH</v>
          </cell>
        </row>
        <row r="1766">
          <cell r="A1766">
            <v>657.15449999999998</v>
          </cell>
          <cell r="B1766" t="str">
            <v>Install Monotube Arms 45-FT</v>
          </cell>
          <cell r="C1766" t="str">
            <v>EACH</v>
          </cell>
        </row>
        <row r="1767">
          <cell r="A1767">
            <v>657.15499999999997</v>
          </cell>
          <cell r="B1767" t="str">
            <v>Install Monotube Arms 50-FT</v>
          </cell>
          <cell r="C1767" t="str">
            <v>EACH</v>
          </cell>
        </row>
        <row r="1768">
          <cell r="A1768">
            <v>657.15549999999996</v>
          </cell>
          <cell r="B1768" t="str">
            <v>Install Monotube Arms 55-FT</v>
          </cell>
          <cell r="C1768" t="str">
            <v>EACH</v>
          </cell>
        </row>
        <row r="1769">
          <cell r="A1769">
            <v>657.18060000000003</v>
          </cell>
          <cell r="B1769" t="str">
            <v>Install Luminaire Arms Steel 6-FT</v>
          </cell>
          <cell r="C1769" t="str">
            <v>EACH</v>
          </cell>
        </row>
        <row r="1770">
          <cell r="A1770">
            <v>657.18079999999998</v>
          </cell>
          <cell r="B1770" t="str">
            <v>Install Luminaire Arms Steel 8-FT</v>
          </cell>
          <cell r="C1770" t="str">
            <v>EACH</v>
          </cell>
        </row>
        <row r="1771">
          <cell r="A1771">
            <v>657.18100000000004</v>
          </cell>
          <cell r="B1771" t="str">
            <v>Install Luminaire Arms Steel 10-FT</v>
          </cell>
          <cell r="C1771" t="str">
            <v>EACH</v>
          </cell>
        </row>
        <row r="1772">
          <cell r="A1772">
            <v>657.18119999999999</v>
          </cell>
          <cell r="B1772" t="str">
            <v>Install Luminaire Arms Steel 12-FT</v>
          </cell>
          <cell r="C1772" t="str">
            <v>EACH</v>
          </cell>
        </row>
        <row r="1773">
          <cell r="A1773">
            <v>657.18150000000003</v>
          </cell>
          <cell r="B1773" t="str">
            <v>Install Luminaire Arms Steel 15-FT</v>
          </cell>
          <cell r="C1773" t="str">
            <v>EACH</v>
          </cell>
        </row>
        <row r="1774">
          <cell r="A1774">
            <v>658.01009999999997</v>
          </cell>
          <cell r="B1774" t="str">
            <v>Traffic Signal Face 1-8 Inch Vertical</v>
          </cell>
          <cell r="C1774" t="str">
            <v>EACH</v>
          </cell>
        </row>
        <row r="1775">
          <cell r="A1775">
            <v>658.01030000000003</v>
          </cell>
          <cell r="B1775" t="str">
            <v>Traffic Signal Face 1-12 Inch Vertical</v>
          </cell>
          <cell r="C1775" t="str">
            <v>EACH</v>
          </cell>
        </row>
        <row r="1776">
          <cell r="A1776">
            <v>658.01049999999998</v>
          </cell>
          <cell r="B1776" t="str">
            <v>Traffic Signal Face 1-12 Inch 2-8 Inch Vertical</v>
          </cell>
          <cell r="C1776" t="str">
            <v>EACH</v>
          </cell>
        </row>
        <row r="1777">
          <cell r="A1777">
            <v>658.01099999999997</v>
          </cell>
          <cell r="B1777" t="str">
            <v>Traffic Signal Face 3-12 Inch Vertical</v>
          </cell>
          <cell r="C1777" t="str">
            <v>EACH</v>
          </cell>
        </row>
        <row r="1778">
          <cell r="A1778">
            <v>658.01149999999996</v>
          </cell>
          <cell r="B1778" t="str">
            <v>Traffic Signal Face 4-12 Inch Vertical</v>
          </cell>
          <cell r="C1778" t="str">
            <v>EACH</v>
          </cell>
        </row>
        <row r="1779">
          <cell r="A1779">
            <v>658.01199999999994</v>
          </cell>
          <cell r="B1779" t="str">
            <v>Traffic Signal Face 5-12 Inch Vertical</v>
          </cell>
          <cell r="C1779" t="str">
            <v>EACH</v>
          </cell>
        </row>
        <row r="1780">
          <cell r="A1780">
            <v>658.01549999999997</v>
          </cell>
          <cell r="B1780" t="str">
            <v>Traffic Signal Face 3-12 Inch Horizontal</v>
          </cell>
          <cell r="C1780" t="str">
            <v>EACH</v>
          </cell>
        </row>
        <row r="1781">
          <cell r="A1781">
            <v>658.01599999999996</v>
          </cell>
          <cell r="B1781" t="str">
            <v>Traffic Signal Face 4-12 Inch Horizontal</v>
          </cell>
          <cell r="C1781" t="str">
            <v>EACH</v>
          </cell>
        </row>
        <row r="1782">
          <cell r="A1782">
            <v>658.01649999999995</v>
          </cell>
          <cell r="B1782" t="str">
            <v>Traffic Signal Face 5-12 Inch Horizontal</v>
          </cell>
          <cell r="C1782" t="str">
            <v>EACH</v>
          </cell>
        </row>
        <row r="1783">
          <cell r="A1783">
            <v>658.02049999999997</v>
          </cell>
          <cell r="B1783" t="str">
            <v>Backplates Signal Face 1 section 8-Inch</v>
          </cell>
          <cell r="C1783" t="str">
            <v>EACH</v>
          </cell>
        </row>
        <row r="1784">
          <cell r="A1784">
            <v>658.02099999999996</v>
          </cell>
          <cell r="B1784" t="str">
            <v>Backplates Signal Face 1 section 12-Inch</v>
          </cell>
          <cell r="C1784" t="str">
            <v>EACH</v>
          </cell>
        </row>
        <row r="1785">
          <cell r="A1785">
            <v>658.02149999999995</v>
          </cell>
          <cell r="B1785" t="str">
            <v>Backplates Signal Face 3 section 12-Inch</v>
          </cell>
          <cell r="C1785" t="str">
            <v>EACH</v>
          </cell>
        </row>
        <row r="1786">
          <cell r="A1786">
            <v>658.02200000000005</v>
          </cell>
          <cell r="B1786" t="str">
            <v>Backplates Signal Face 4 section 12-Inch</v>
          </cell>
          <cell r="C1786" t="str">
            <v>EACH</v>
          </cell>
        </row>
        <row r="1787">
          <cell r="A1787">
            <v>658.02250000000004</v>
          </cell>
          <cell r="B1787" t="str">
            <v>Backplates Signal Face 5 section 12-Inch</v>
          </cell>
          <cell r="C1787" t="str">
            <v>EACH</v>
          </cell>
        </row>
        <row r="1788">
          <cell r="A1788">
            <v>658.03</v>
          </cell>
          <cell r="B1788" t="str">
            <v>Backplates Signal Face 12-8-8 Inch</v>
          </cell>
          <cell r="C1788" t="str">
            <v>EACH</v>
          </cell>
        </row>
        <row r="1789">
          <cell r="A1789">
            <v>658.0412</v>
          </cell>
          <cell r="B1789" t="str">
            <v>Pedestrian Signal Face 12-Inch</v>
          </cell>
          <cell r="C1789" t="str">
            <v>EACH</v>
          </cell>
        </row>
        <row r="1790">
          <cell r="A1790">
            <v>658.04160000000002</v>
          </cell>
          <cell r="B1790" t="str">
            <v>Pedestrian Signal Face 16-Inch</v>
          </cell>
          <cell r="C1790" t="str">
            <v>EACH</v>
          </cell>
        </row>
        <row r="1791">
          <cell r="A1791">
            <v>658.05</v>
          </cell>
          <cell r="B1791" t="str">
            <v>Pedestrian Push Buttons</v>
          </cell>
          <cell r="C1791" t="str">
            <v>EACH</v>
          </cell>
        </row>
        <row r="1792">
          <cell r="A1792">
            <v>658.50689999999997</v>
          </cell>
          <cell r="B1792" t="str">
            <v>Signal Mounting Hardware (location)</v>
          </cell>
          <cell r="C1792" t="str">
            <v>LS</v>
          </cell>
        </row>
        <row r="1793">
          <cell r="A1793">
            <v>659.01149999999996</v>
          </cell>
          <cell r="B1793" t="str">
            <v>Luminaires Utility HPS 150 Watts</v>
          </cell>
          <cell r="C1793" t="str">
            <v>EACH</v>
          </cell>
        </row>
        <row r="1794">
          <cell r="A1794">
            <v>659.01250000000005</v>
          </cell>
          <cell r="B1794" t="str">
            <v>Luminaires Utility HPS 250 Watts</v>
          </cell>
          <cell r="C1794" t="str">
            <v>EACH</v>
          </cell>
        </row>
        <row r="1795">
          <cell r="A1795">
            <v>659.01350000000002</v>
          </cell>
          <cell r="B1795" t="str">
            <v>Luminaires Utility HPS 400 Watts</v>
          </cell>
          <cell r="C1795" t="str">
            <v>EACH</v>
          </cell>
        </row>
        <row r="1796">
          <cell r="A1796">
            <v>659.01499999999999</v>
          </cell>
          <cell r="B1796" t="str">
            <v>Luminaires Utility MH 250 Watts</v>
          </cell>
          <cell r="C1796" t="str">
            <v>EACH</v>
          </cell>
        </row>
        <row r="1797">
          <cell r="A1797">
            <v>659.02049999999997</v>
          </cell>
          <cell r="B1797" t="str">
            <v>Luminaires Underdeck 70 Watts</v>
          </cell>
          <cell r="C1797" t="str">
            <v>EACH</v>
          </cell>
        </row>
        <row r="1798">
          <cell r="A1798">
            <v>659.02099999999996</v>
          </cell>
          <cell r="B1798" t="str">
            <v>Luminaires Underdeck 100 Watts</v>
          </cell>
          <cell r="C1798" t="str">
            <v>EACH</v>
          </cell>
        </row>
        <row r="1799">
          <cell r="A1799">
            <v>659.02149999999995</v>
          </cell>
          <cell r="B1799" t="str">
            <v>Luminaires Underdeck 150 Watts</v>
          </cell>
          <cell r="C1799" t="str">
            <v>EACH</v>
          </cell>
        </row>
        <row r="1800">
          <cell r="A1800">
            <v>659.03</v>
          </cell>
          <cell r="B1800" t="str">
            <v>Luminaires Sign Lighting</v>
          </cell>
          <cell r="C1800" t="str">
            <v>EACH</v>
          </cell>
        </row>
        <row r="1801">
          <cell r="A1801">
            <v>659.04</v>
          </cell>
          <cell r="B1801" t="str">
            <v>Luminaires High Mast Lighting</v>
          </cell>
          <cell r="C1801" t="str">
            <v>EACH</v>
          </cell>
        </row>
        <row r="1802">
          <cell r="A1802">
            <v>659.05</v>
          </cell>
          <cell r="B1802" t="str">
            <v>Sign Lighting (location)</v>
          </cell>
          <cell r="C1802" t="str">
            <v>LS</v>
          </cell>
        </row>
        <row r="1803">
          <cell r="A1803">
            <v>659.06</v>
          </cell>
          <cell r="B1803" t="str">
            <v>Underdeck Lighting (location)</v>
          </cell>
          <cell r="C1803" t="str">
            <v>LS</v>
          </cell>
        </row>
        <row r="1804">
          <cell r="A1804">
            <v>659.07</v>
          </cell>
          <cell r="B1804" t="str">
            <v>Lighting Units Walkway</v>
          </cell>
          <cell r="C1804" t="str">
            <v>EACH</v>
          </cell>
        </row>
        <row r="1805">
          <cell r="A1805">
            <v>659.08019999999999</v>
          </cell>
          <cell r="B1805" t="str">
            <v>Plaques Sequence Identification</v>
          </cell>
          <cell r="C1805" t="str">
            <v>EACH</v>
          </cell>
        </row>
        <row r="1806">
          <cell r="A1806">
            <v>660.01</v>
          </cell>
          <cell r="B1806" t="str">
            <v>High Mast Foundation (location)</v>
          </cell>
          <cell r="C1806" t="str">
            <v>LS</v>
          </cell>
        </row>
        <row r="1807">
          <cell r="A1807">
            <v>660.02</v>
          </cell>
          <cell r="B1807" t="str">
            <v>High Mast Lighting Tower (location)</v>
          </cell>
          <cell r="C1807" t="str">
            <v>LS</v>
          </cell>
        </row>
        <row r="1808">
          <cell r="A1808">
            <v>661.01</v>
          </cell>
          <cell r="B1808" t="str">
            <v>Temporary Traffic Signals for Bridges (structure)</v>
          </cell>
          <cell r="C1808" t="str">
            <v>LS</v>
          </cell>
        </row>
        <row r="1809">
          <cell r="A1809">
            <v>661.02</v>
          </cell>
          <cell r="B1809" t="str">
            <v>Temporary Traffic Signals for Intersections (location)</v>
          </cell>
          <cell r="C1809" t="str">
            <v>LS</v>
          </cell>
        </row>
        <row r="1810">
          <cell r="A1810">
            <v>661.03</v>
          </cell>
          <cell r="B1810" t="str">
            <v>Generators</v>
          </cell>
          <cell r="C1810" t="str">
            <v>DAY</v>
          </cell>
        </row>
        <row r="1811">
          <cell r="A1811">
            <v>661.07</v>
          </cell>
          <cell r="B1811" t="str">
            <v>Temporary Ramp Meter (location)</v>
          </cell>
          <cell r="C1811" t="str">
            <v>LS</v>
          </cell>
        </row>
        <row r="1812">
          <cell r="A1812">
            <v>670.01</v>
          </cell>
          <cell r="B1812" t="str">
            <v>Field System Integrator</v>
          </cell>
          <cell r="C1812" t="str">
            <v>LS</v>
          </cell>
        </row>
        <row r="1813">
          <cell r="A1813">
            <v>670.02</v>
          </cell>
          <cell r="B1813" t="str">
            <v>ITS Documentation</v>
          </cell>
          <cell r="C1813" t="str">
            <v>LS</v>
          </cell>
        </row>
        <row r="1814">
          <cell r="A1814">
            <v>671.01</v>
          </cell>
          <cell r="B1814" t="str">
            <v>Conduit HDPE 4 Duct 1 1/4 Inch</v>
          </cell>
          <cell r="C1814" t="str">
            <v>LF</v>
          </cell>
        </row>
        <row r="1815">
          <cell r="A1815">
            <v>671.02</v>
          </cell>
          <cell r="B1815" t="str">
            <v>Conduit HDPE Directional Bore 4-Duct 1 1/4-Inch</v>
          </cell>
          <cell r="C1815" t="str">
            <v>LF</v>
          </cell>
        </row>
        <row r="1816">
          <cell r="A1816">
            <v>671.03</v>
          </cell>
          <cell r="B1816" t="str">
            <v>Fiber Optic Cable Marker</v>
          </cell>
          <cell r="C1816" t="str">
            <v>EACH</v>
          </cell>
        </row>
        <row r="1817">
          <cell r="A1817">
            <v>672.01</v>
          </cell>
          <cell r="B1817" t="str">
            <v>Base ITS Controller Cabinet</v>
          </cell>
          <cell r="C1817" t="str">
            <v>EACH</v>
          </cell>
        </row>
        <row r="1818">
          <cell r="A1818">
            <v>672.02300000000002</v>
          </cell>
          <cell r="B1818" t="str">
            <v>Base Camera Pole 30-FT</v>
          </cell>
          <cell r="C1818" t="str">
            <v>EACH</v>
          </cell>
        </row>
        <row r="1819">
          <cell r="A1819">
            <v>672.02499999999998</v>
          </cell>
          <cell r="B1819" t="str">
            <v>Base Camera Pole 50-FT</v>
          </cell>
          <cell r="C1819" t="str">
            <v>EACH</v>
          </cell>
        </row>
        <row r="1820">
          <cell r="A1820">
            <v>672.02800000000002</v>
          </cell>
          <cell r="B1820" t="str">
            <v>Base Camera Pole 80-FT</v>
          </cell>
          <cell r="C1820" t="str">
            <v>EACH</v>
          </cell>
        </row>
        <row r="1821">
          <cell r="A1821">
            <v>673.01049999999998</v>
          </cell>
          <cell r="B1821" t="str">
            <v>Communication Vault Type 1</v>
          </cell>
          <cell r="C1821" t="str">
            <v>EACH</v>
          </cell>
        </row>
        <row r="1822">
          <cell r="A1822">
            <v>674.01059999999995</v>
          </cell>
          <cell r="B1822" t="str">
            <v>Cable ITS Communication 6 Pair</v>
          </cell>
          <cell r="C1822" t="str">
            <v>LF</v>
          </cell>
        </row>
        <row r="1823">
          <cell r="A1823">
            <v>674.01120000000003</v>
          </cell>
          <cell r="B1823" t="str">
            <v>Cable ITS Communication 12 Pair</v>
          </cell>
          <cell r="C1823" t="str">
            <v>LF</v>
          </cell>
        </row>
        <row r="1824">
          <cell r="A1824">
            <v>674.01250000000005</v>
          </cell>
          <cell r="B1824" t="str">
            <v>Cable ITS Communication 25 Pair</v>
          </cell>
          <cell r="C1824" t="str">
            <v>LF</v>
          </cell>
        </row>
        <row r="1825">
          <cell r="A1825">
            <v>674.02</v>
          </cell>
          <cell r="B1825" t="str">
            <v>Cable Microwave Detector</v>
          </cell>
          <cell r="C1825" t="str">
            <v>LF</v>
          </cell>
        </row>
        <row r="1826">
          <cell r="A1826">
            <v>674.03</v>
          </cell>
          <cell r="B1826" t="str">
            <v>Remove Cable</v>
          </cell>
          <cell r="C1826" t="str">
            <v>LF</v>
          </cell>
        </row>
        <row r="1827">
          <cell r="A1827">
            <v>674.04</v>
          </cell>
          <cell r="B1827" t="str">
            <v>Reinstall Cable</v>
          </cell>
          <cell r="C1827" t="str">
            <v>LF</v>
          </cell>
        </row>
        <row r="1828">
          <cell r="A1828">
            <v>675.01</v>
          </cell>
          <cell r="B1828" t="str">
            <v>Install Controller Ramp Meter Processor Assembly</v>
          </cell>
          <cell r="C1828" t="str">
            <v>EACH</v>
          </cell>
        </row>
        <row r="1829">
          <cell r="A1829">
            <v>675.02</v>
          </cell>
          <cell r="B1829" t="str">
            <v>Install Controller Detector Processor Assembly</v>
          </cell>
          <cell r="C1829" t="str">
            <v>EACH</v>
          </cell>
        </row>
        <row r="1830">
          <cell r="A1830">
            <v>675.03</v>
          </cell>
          <cell r="B1830" t="str">
            <v>Install Mounted Controller Microwave Detector Assembly</v>
          </cell>
          <cell r="C1830" t="str">
            <v>EACH</v>
          </cell>
        </row>
        <row r="1831">
          <cell r="A1831">
            <v>676.01</v>
          </cell>
          <cell r="B1831" t="str">
            <v>Signal Assembly Ramp Control Sidemount</v>
          </cell>
          <cell r="C1831" t="str">
            <v>EACH</v>
          </cell>
        </row>
        <row r="1832">
          <cell r="A1832">
            <v>676.01049999999998</v>
          </cell>
          <cell r="B1832" t="str">
            <v>Signal Assembly Ramp Control Overhead</v>
          </cell>
          <cell r="C1832" t="str">
            <v>EACH</v>
          </cell>
        </row>
        <row r="1833">
          <cell r="A1833">
            <v>676.02</v>
          </cell>
          <cell r="B1833" t="str">
            <v>Signal Assembly Display Enforcement</v>
          </cell>
          <cell r="C1833" t="str">
            <v>EACH</v>
          </cell>
        </row>
        <row r="1834">
          <cell r="A1834">
            <v>676.03</v>
          </cell>
          <cell r="B1834" t="str">
            <v>Signal Assembly Advance Flasher Type 1</v>
          </cell>
          <cell r="C1834" t="str">
            <v>EACH</v>
          </cell>
        </row>
        <row r="1835">
          <cell r="A1835">
            <v>676.03049999999996</v>
          </cell>
          <cell r="B1835" t="str">
            <v>Signal Assembly Advance Flasher Type 2</v>
          </cell>
          <cell r="C1835" t="str">
            <v>EACH</v>
          </cell>
        </row>
        <row r="1836">
          <cell r="A1836">
            <v>677.01</v>
          </cell>
          <cell r="B1836" t="str">
            <v>Install Camera Pole</v>
          </cell>
          <cell r="C1836" t="str">
            <v>EACH</v>
          </cell>
        </row>
        <row r="1837">
          <cell r="A1837">
            <v>677.02</v>
          </cell>
          <cell r="B1837" t="str">
            <v>Install Camera Assembly</v>
          </cell>
          <cell r="C1837" t="str">
            <v>EACH</v>
          </cell>
        </row>
        <row r="1838">
          <cell r="A1838">
            <v>678.00059999999996</v>
          </cell>
          <cell r="B1838" t="str">
            <v>Install Fiber Optic Cable Outdoor Plant 6-CT</v>
          </cell>
          <cell r="C1838" t="str">
            <v>LF</v>
          </cell>
        </row>
        <row r="1839">
          <cell r="A1839">
            <v>678.00239999999997</v>
          </cell>
          <cell r="B1839" t="str">
            <v>Install Fiber Optic Cable Outdoor Plant 24-CT</v>
          </cell>
          <cell r="C1839" t="str">
            <v>LF</v>
          </cell>
        </row>
        <row r="1840">
          <cell r="A1840">
            <v>678.00360000000001</v>
          </cell>
          <cell r="B1840" t="str">
            <v>Install Fiber Optic Cable Outdoor Plant 36-CT</v>
          </cell>
          <cell r="C1840" t="str">
            <v>LF</v>
          </cell>
        </row>
        <row r="1841">
          <cell r="A1841">
            <v>678.00480000000005</v>
          </cell>
          <cell r="B1841" t="str">
            <v>Install Fiber Optic Cable Outdoor Plant 48-CT</v>
          </cell>
          <cell r="C1841" t="str">
            <v>LF</v>
          </cell>
        </row>
        <row r="1842">
          <cell r="A1842">
            <v>678.00720000000001</v>
          </cell>
          <cell r="B1842" t="str">
            <v>Install Fiber Optic Cable Outdoor Plant 72-CT</v>
          </cell>
          <cell r="C1842" t="str">
            <v>LF</v>
          </cell>
        </row>
        <row r="1843">
          <cell r="A1843">
            <v>678.00959999999998</v>
          </cell>
          <cell r="B1843" t="str">
            <v>Install Fiber Optic Cable Outdoor Plant 96-CT</v>
          </cell>
          <cell r="C1843" t="str">
            <v>LF</v>
          </cell>
        </row>
        <row r="1844">
          <cell r="A1844">
            <v>678.01440000000002</v>
          </cell>
          <cell r="B1844" t="str">
            <v>Install Fiber Optic Cable Outdoor Plant 144-CT</v>
          </cell>
          <cell r="C1844" t="str">
            <v>LF</v>
          </cell>
        </row>
        <row r="1845">
          <cell r="A1845">
            <v>678.02</v>
          </cell>
          <cell r="B1845" t="str">
            <v>Fiber Optic Splice Enclosure</v>
          </cell>
          <cell r="C1845" t="str">
            <v>EACH</v>
          </cell>
        </row>
        <row r="1846">
          <cell r="A1846">
            <v>678.03</v>
          </cell>
          <cell r="B1846" t="str">
            <v>Fiber Optic Splice</v>
          </cell>
          <cell r="C1846" t="str">
            <v>EACH</v>
          </cell>
        </row>
        <row r="1847">
          <cell r="A1847">
            <v>678.04</v>
          </cell>
          <cell r="B1847" t="str">
            <v>Fiber Optic Termination</v>
          </cell>
          <cell r="C1847" t="str">
            <v>EACH</v>
          </cell>
        </row>
        <row r="1848">
          <cell r="A1848">
            <v>678.05</v>
          </cell>
          <cell r="B1848" t="str">
            <v>Communication System Testing</v>
          </cell>
          <cell r="C1848" t="str">
            <v>LS</v>
          </cell>
        </row>
        <row r="1849">
          <cell r="A1849">
            <v>690.01499999999999</v>
          </cell>
          <cell r="B1849" t="str">
            <v>Sawing Asphalt</v>
          </cell>
          <cell r="C1849" t="str">
            <v>LF</v>
          </cell>
        </row>
        <row r="1850">
          <cell r="A1850">
            <v>690.02499999999998</v>
          </cell>
          <cell r="B1850" t="str">
            <v>Sawing Concrete</v>
          </cell>
          <cell r="C1850" t="str">
            <v>LF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SUMMARY  GL"/>
      <sheetName val="EST SUMMARY  FDL"/>
      <sheetName val="EST SUMMARY PATH"/>
      <sheetName val="Clearing and Grubbing"/>
      <sheetName val="Remove Culverts"/>
      <sheetName val="Remove Structure"/>
      <sheetName val="Remove Storm Sewer"/>
      <sheetName val="Remove Asph Surface"/>
      <sheetName val="Remove Sidewalk"/>
      <sheetName val="Abandoning Culverts"/>
      <sheetName val="Finishing Roadway"/>
      <sheetName val="Remove Curb &amp; Gutter"/>
      <sheetName val="Remove Guardrail"/>
      <sheetName val="Remove Fence"/>
      <sheetName val="Remove Delineators"/>
      <sheetName val="Remove Inlets"/>
      <sheetName val="Granular Backfill"/>
      <sheetName val="Shared Use Path"/>
      <sheetName val="Agg"/>
      <sheetName val="Concrete Slab"/>
      <sheetName val="Concrete Surface Drain"/>
      <sheetName val="Asphalt"/>
      <sheetName val="Asphaltic Surface"/>
      <sheetName val="Rumble Strips"/>
      <sheetName val="Sheet Piling"/>
      <sheetName val="CROSS CULVERT"/>
      <sheetName val="CSS DOLLARS"/>
      <sheetName val="DRWYS"/>
      <sheetName val="SS-PIPE"/>
      <sheetName val="SS-INMH"/>
      <sheetName val="Curb &amp; Gutter"/>
      <sheetName val="Concrete Items"/>
      <sheetName val="Pipe Underdrain"/>
      <sheetName val="Beam Guard"/>
      <sheetName val="Haul Rds"/>
      <sheetName val="Mobilization"/>
      <sheetName val="Erosion Control"/>
      <sheetName val="Temporary Ditch"/>
      <sheetName val="Mob. Erosion Control"/>
      <sheetName val="Tracking Pads"/>
      <sheetName val="Reference Monuments"/>
      <sheetName val="Restoration"/>
      <sheetName val="Permanent Signs"/>
      <sheetName val="Removing Signs"/>
      <sheetName val="Field Office"/>
      <sheetName val="Traffic Control"/>
      <sheetName val="Traffic Control 2"/>
      <sheetName val="Geotextile Fabric"/>
      <sheetName val="Pavement Marking"/>
      <sheetName val="Temp Pavt Markings"/>
      <sheetName val="Detour Pavt Marking No Passing"/>
      <sheetName val="Locating No Passing Zones"/>
      <sheetName val="Staking"/>
      <sheetName val="Beacons"/>
      <sheetName val="Sawing Pavement"/>
      <sheetName val="Safety Fence"/>
      <sheetName val="Adjusting MH's &amp; Hydrants"/>
      <sheetName val="Rounding Rules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>
        <row r="2">
          <cell r="B2" t="str">
            <v>Lump Sum, "Each" &amp; "Station" Items</v>
          </cell>
        </row>
        <row r="3">
          <cell r="B3" t="str">
            <v>Clearing &amp; Grubbing</v>
          </cell>
        </row>
        <row r="4">
          <cell r="B4" t="str">
            <v>Clearing &amp; Grubbing</v>
          </cell>
        </row>
        <row r="5">
          <cell r="B5" t="str">
            <v>Removals</v>
          </cell>
        </row>
        <row r="6">
          <cell r="B6" t="str">
            <v>All Excavation/ Granular Backfill</v>
          </cell>
        </row>
        <row r="7">
          <cell r="B7" t="str">
            <v>Granular Subbase Course</v>
          </cell>
        </row>
        <row r="8">
          <cell r="B8" t="str">
            <v>Asphalt Stabilized Base Course/Shoulders</v>
          </cell>
        </row>
        <row r="9">
          <cell r="B9" t="str">
            <v>Base Aggregate Dense</v>
          </cell>
        </row>
        <row r="10">
          <cell r="B10" t="str">
            <v>HMA &amp; Concrete Base Courses/Surfaces</v>
          </cell>
        </row>
        <row r="11">
          <cell r="B11" t="str">
            <v>Asphaltic Material</v>
          </cell>
        </row>
        <row r="12">
          <cell r="B12" t="str">
            <v>Asphaltic Material</v>
          </cell>
        </row>
        <row r="13">
          <cell r="B13" t="str">
            <v>Concrete Surface Drains/Mortar Rubble Masonry</v>
          </cell>
        </row>
        <row r="14">
          <cell r="B14" t="str">
            <v>Concrete Masonry</v>
          </cell>
        </row>
        <row r="15">
          <cell r="B15" t="str">
            <v>Prestressed Girder</v>
          </cell>
        </row>
        <row r="16">
          <cell r="B16" t="str">
            <v>Bar Steel Reinforcement</v>
          </cell>
        </row>
        <row r="17">
          <cell r="B17" t="str">
            <v>Structural Steel/Plates</v>
          </cell>
        </row>
        <row r="18">
          <cell r="B18" t="str">
            <v>Timber &amp; Lumber</v>
          </cell>
        </row>
        <row r="19">
          <cell r="B19" t="str">
            <v>Piling</v>
          </cell>
        </row>
        <row r="20">
          <cell r="B20" t="str">
            <v>Sheet Piling</v>
          </cell>
        </row>
        <row r="21">
          <cell r="B21" t="str">
            <v>Culvert Pipe/Pipe Cattle Pass</v>
          </cell>
        </row>
        <row r="22">
          <cell r="B22" t="str">
            <v>Structural Plate Pipe</v>
          </cell>
        </row>
        <row r="23">
          <cell r="B23" t="str">
            <v>Concrete Sidewalk</v>
          </cell>
        </row>
        <row r="24">
          <cell r="B24" t="str">
            <v>Slope Paving</v>
          </cell>
        </row>
        <row r="25">
          <cell r="B25" t="str">
            <v>Riprap</v>
          </cell>
        </row>
        <row r="26">
          <cell r="B26" t="str">
            <v>Storm Sewer Pipe</v>
          </cell>
        </row>
        <row r="27">
          <cell r="B27" t="str">
            <v>Calcium Chloride, AG Lime, Mulching</v>
          </cell>
        </row>
        <row r="28">
          <cell r="B28" t="str">
            <v>Erosion Control Items</v>
          </cell>
        </row>
        <row r="29">
          <cell r="B29" t="str">
            <v>Fertilizer</v>
          </cell>
        </row>
        <row r="30">
          <cell r="B30" t="str">
            <v>Signs</v>
          </cell>
        </row>
        <row r="31">
          <cell r="B31" t="str">
            <v>Drill Holes, Well Casing Pipe</v>
          </cell>
        </row>
        <row r="32">
          <cell r="B32" t="str">
            <v>Other "Linear Foot" Items</v>
          </cell>
        </row>
        <row r="33">
          <cell r="B33" t="str">
            <v>Water</v>
          </cell>
        </row>
        <row r="34">
          <cell r="B34" t="str">
            <v>Locating No-Passing Zones</v>
          </cell>
        </row>
      </sheetData>
      <sheetData sheetId="58">
        <row r="1">
          <cell r="K1" t="str">
            <v>ACRE</v>
          </cell>
        </row>
        <row r="2">
          <cell r="K2" t="str">
            <v>CWT</v>
          </cell>
        </row>
        <row r="3">
          <cell r="K3" t="str">
            <v>CY</v>
          </cell>
        </row>
        <row r="4">
          <cell r="K4" t="str">
            <v>EA</v>
          </cell>
        </row>
        <row r="5">
          <cell r="K5" t="str">
            <v>GAL</v>
          </cell>
        </row>
        <row r="6">
          <cell r="K6" t="str">
            <v>IN DIA</v>
          </cell>
        </row>
        <row r="7">
          <cell r="K7" t="str">
            <v>LB</v>
          </cell>
        </row>
        <row r="8">
          <cell r="K8" t="str">
            <v>LF</v>
          </cell>
        </row>
        <row r="9">
          <cell r="K9" t="str">
            <v>LS</v>
          </cell>
        </row>
        <row r="10">
          <cell r="K10" t="str">
            <v>MBM</v>
          </cell>
        </row>
        <row r="11">
          <cell r="K11" t="str">
            <v>MGAL</v>
          </cell>
        </row>
        <row r="12">
          <cell r="K12" t="str">
            <v>MI</v>
          </cell>
        </row>
        <row r="13">
          <cell r="K13" t="str">
            <v>SF</v>
          </cell>
        </row>
        <row r="14">
          <cell r="K14" t="str">
            <v>STA</v>
          </cell>
        </row>
        <row r="15">
          <cell r="K15" t="str">
            <v>SY</v>
          </cell>
        </row>
        <row r="16">
          <cell r="K16" t="str">
            <v>TON</v>
          </cell>
        </row>
      </sheetData>
      <sheetData sheetId="5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s://wisconsindot.gov/dtsdManuals/traffic-ops/manuals-and-standards/signplate/aseries/A4-3.pdf" TargetMode="External"/><Relationship Id="rId1" Type="http://schemas.openxmlformats.org/officeDocument/2006/relationships/hyperlink" Target="https://wisconsindot.gov/dtsdManuals/traffic-ops/manuals-and-standards/signplate/wseries/W14-3.pdf" TargetMode="Externa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0F95D-84CF-4C8C-AEF6-C78FBAE51ED7}">
  <dimension ref="A1:XFD320"/>
  <sheetViews>
    <sheetView showGridLines="0" tabSelected="1" zoomScale="90" zoomScaleNormal="90" zoomScalePageLayoutView="85" workbookViewId="0">
      <pane ySplit="8" topLeftCell="A54" activePane="bottomLeft" state="frozen"/>
      <selection activeCell="I41" sqref="I41"/>
      <selection pane="bottomLeft" activeCell="B7" sqref="B7"/>
    </sheetView>
  </sheetViews>
  <sheetFormatPr defaultColWidth="0" defaultRowHeight="12.75" x14ac:dyDescent="0.2"/>
  <cols>
    <col min="1" max="1" width="14.140625" style="146" customWidth="1"/>
    <col min="2" max="2" width="82" style="146" customWidth="1"/>
    <col min="3" max="3" width="13.140625" style="146" customWidth="1"/>
    <col min="4" max="4" width="12.7109375" style="146" customWidth="1"/>
    <col min="5" max="6" width="13.85546875" style="146" customWidth="1"/>
    <col min="7" max="7" width="15.7109375" style="148" customWidth="1"/>
    <col min="8" max="8" width="13.7109375" style="148" customWidth="1"/>
    <col min="9" max="9" width="13.85546875" style="148" customWidth="1"/>
    <col min="10" max="10" width="11.5703125" style="146" bestFit="1" customWidth="1"/>
    <col min="11" max="11" width="11" style="148" customWidth="1"/>
    <col min="12" max="12" width="10" style="148" customWidth="1"/>
    <col min="13" max="13" width="56.85546875" style="148" customWidth="1"/>
    <col min="14" max="16384" width="0" style="85" hidden="1"/>
  </cols>
  <sheetData>
    <row r="1" spans="1:13" x14ac:dyDescent="0.2">
      <c r="A1" s="83"/>
      <c r="B1" s="83"/>
      <c r="C1" s="83"/>
      <c r="D1" s="83"/>
      <c r="E1" s="83"/>
      <c r="F1" s="83"/>
      <c r="G1" s="84"/>
      <c r="H1" s="84"/>
      <c r="I1" s="84"/>
      <c r="J1" s="83"/>
      <c r="K1" s="84"/>
      <c r="L1" s="84"/>
      <c r="M1" s="84"/>
    </row>
    <row r="2" spans="1:13" ht="15.75" customHeight="1" x14ac:dyDescent="0.25">
      <c r="A2" s="86" t="s">
        <v>340</v>
      </c>
      <c r="B2" s="87"/>
      <c r="C2" s="88"/>
      <c r="D2" s="83"/>
      <c r="E2" s="83"/>
      <c r="F2" s="83"/>
      <c r="G2" s="84"/>
      <c r="H2" s="84"/>
      <c r="I2" s="84"/>
      <c r="J2" s="83"/>
      <c r="K2" s="84"/>
      <c r="L2" s="88"/>
      <c r="M2" s="88" t="s">
        <v>376</v>
      </c>
    </row>
    <row r="3" spans="1:13" ht="14.45" customHeight="1" x14ac:dyDescent="0.2">
      <c r="A3" s="89" t="s">
        <v>117</v>
      </c>
      <c r="B3" s="90"/>
      <c r="C3" s="83"/>
      <c r="D3" s="118"/>
      <c r="E3" s="569" t="s">
        <v>395</v>
      </c>
      <c r="F3" s="570"/>
      <c r="G3" s="571"/>
      <c r="H3" s="571"/>
      <c r="I3" s="571"/>
      <c r="J3" s="570"/>
      <c r="K3" s="572"/>
      <c r="L3" s="84"/>
      <c r="M3" s="608" t="s">
        <v>373</v>
      </c>
    </row>
    <row r="4" spans="1:13" ht="14.45" customHeight="1" x14ac:dyDescent="0.2">
      <c r="A4" s="89" t="s">
        <v>118</v>
      </c>
      <c r="B4" s="90"/>
      <c r="C4" s="83"/>
      <c r="D4" s="564"/>
      <c r="E4" s="573">
        <v>43480</v>
      </c>
      <c r="F4" s="563" t="s">
        <v>383</v>
      </c>
      <c r="G4" s="84" t="s">
        <v>380</v>
      </c>
      <c r="H4" s="84"/>
      <c r="I4" s="83" t="s">
        <v>388</v>
      </c>
      <c r="J4" s="567" t="s">
        <v>389</v>
      </c>
      <c r="K4" s="574"/>
      <c r="L4" s="84"/>
      <c r="M4" s="608"/>
    </row>
    <row r="5" spans="1:13" ht="14.45" customHeight="1" x14ac:dyDescent="0.2">
      <c r="A5" s="89" t="s">
        <v>119</v>
      </c>
      <c r="B5" s="90"/>
      <c r="C5" s="83"/>
      <c r="D5" s="564"/>
      <c r="E5" s="573">
        <v>43536</v>
      </c>
      <c r="F5" s="563" t="s">
        <v>379</v>
      </c>
      <c r="G5" s="84" t="s">
        <v>380</v>
      </c>
      <c r="H5" s="84"/>
      <c r="I5" s="83" t="s">
        <v>384</v>
      </c>
      <c r="J5" s="567" t="s">
        <v>385</v>
      </c>
      <c r="K5" s="574"/>
      <c r="L5" s="84"/>
      <c r="M5" s="605"/>
    </row>
    <row r="6" spans="1:13" ht="14.45" customHeight="1" x14ac:dyDescent="0.2">
      <c r="A6" s="89" t="s">
        <v>120</v>
      </c>
      <c r="B6" s="90"/>
      <c r="C6" s="83"/>
      <c r="D6" s="564"/>
      <c r="E6" s="575">
        <v>43508</v>
      </c>
      <c r="F6" s="576" t="s">
        <v>381</v>
      </c>
      <c r="G6" s="577" t="s">
        <v>382</v>
      </c>
      <c r="H6" s="577"/>
      <c r="I6" s="578" t="s">
        <v>387</v>
      </c>
      <c r="J6" s="579" t="s">
        <v>386</v>
      </c>
      <c r="K6" s="580"/>
      <c r="L6" s="91"/>
      <c r="M6" s="605"/>
    </row>
    <row r="7" spans="1:13" ht="17.25" customHeight="1" x14ac:dyDescent="0.2">
      <c r="A7" s="83"/>
      <c r="B7" s="83"/>
      <c r="C7" s="83"/>
      <c r="D7" s="564"/>
      <c r="E7" s="565"/>
      <c r="F7" s="565"/>
      <c r="G7" s="566"/>
      <c r="H7" s="566"/>
      <c r="I7" s="566"/>
      <c r="J7" s="91"/>
      <c r="K7" s="149"/>
      <c r="L7" s="606" t="s">
        <v>123</v>
      </c>
      <c r="M7" s="92"/>
    </row>
    <row r="8" spans="1:13" ht="43.5" customHeight="1" thickBot="1" x14ac:dyDescent="0.25">
      <c r="A8" s="93" t="s">
        <v>124</v>
      </c>
      <c r="B8" s="93" t="s">
        <v>125</v>
      </c>
      <c r="C8" s="93" t="s">
        <v>126</v>
      </c>
      <c r="D8" s="93" t="s">
        <v>121</v>
      </c>
      <c r="E8" s="561" t="s">
        <v>397</v>
      </c>
      <c r="F8" s="584" t="s">
        <v>398</v>
      </c>
      <c r="G8" s="562" t="s">
        <v>403</v>
      </c>
      <c r="H8" s="591" t="s">
        <v>399</v>
      </c>
      <c r="I8" s="581" t="s">
        <v>402</v>
      </c>
      <c r="J8" s="561" t="s">
        <v>400</v>
      </c>
      <c r="K8" s="562" t="s">
        <v>401</v>
      </c>
      <c r="L8" s="607"/>
      <c r="M8" s="94" t="s">
        <v>127</v>
      </c>
    </row>
    <row r="9" spans="1:13" ht="41.25" customHeight="1" thickTop="1" x14ac:dyDescent="0.2">
      <c r="A9" s="183">
        <v>204.011</v>
      </c>
      <c r="B9" s="97" t="s">
        <v>371</v>
      </c>
      <c r="C9" s="98">
        <f>'204.0110'!C5</f>
        <v>773</v>
      </c>
      <c r="D9" s="99" t="s">
        <v>10</v>
      </c>
      <c r="E9" s="583">
        <v>5.5</v>
      </c>
      <c r="F9" s="594">
        <v>4.7</v>
      </c>
      <c r="G9" s="100">
        <f>C9*E9</f>
        <v>4251.5</v>
      </c>
      <c r="H9" s="594">
        <v>3633.1</v>
      </c>
      <c r="I9" s="592">
        <f>(G9-H9)/$H9</f>
        <v>0.17021276595744683</v>
      </c>
      <c r="J9" s="586">
        <v>7.83</v>
      </c>
      <c r="K9" s="95">
        <v>5.45</v>
      </c>
      <c r="L9" s="558">
        <f t="shared" ref="L9:L40" si="0">G9/$G$73</f>
        <v>3.77939404494797E-3</v>
      </c>
      <c r="M9" s="568" t="s">
        <v>392</v>
      </c>
    </row>
    <row r="10" spans="1:13" ht="16.5" customHeight="1" x14ac:dyDescent="0.2">
      <c r="A10" s="183">
        <v>204.01150000000001</v>
      </c>
      <c r="B10" s="97" t="s">
        <v>103</v>
      </c>
      <c r="C10" s="98">
        <f>ROUND('204.0115'!C18,0)</f>
        <v>176</v>
      </c>
      <c r="D10" s="99" t="s">
        <v>10</v>
      </c>
      <c r="E10" s="583">
        <v>19</v>
      </c>
      <c r="F10" s="595">
        <v>22</v>
      </c>
      <c r="G10" s="100">
        <f t="shared" ref="G10:G46" si="1">C10*E10</f>
        <v>3344</v>
      </c>
      <c r="H10" s="595">
        <v>3872</v>
      </c>
      <c r="I10" s="592">
        <f t="shared" ref="I10:I63" si="2">(G10-H10)/$H10</f>
        <v>-0.13636363636363635</v>
      </c>
      <c r="J10" s="587">
        <v>17.68</v>
      </c>
      <c r="K10" s="95">
        <v>18.53</v>
      </c>
      <c r="L10" s="96">
        <f t="shared" si="0"/>
        <v>2.9726669849008615E-3</v>
      </c>
      <c r="M10" s="557"/>
    </row>
    <row r="11" spans="1:13" ht="51" x14ac:dyDescent="0.2">
      <c r="A11" s="185">
        <v>204.012</v>
      </c>
      <c r="B11" s="97" t="s">
        <v>12</v>
      </c>
      <c r="C11" s="98">
        <f>'204.0120'!D21</f>
        <v>77130</v>
      </c>
      <c r="D11" s="99" t="s">
        <v>10</v>
      </c>
      <c r="E11" s="583">
        <v>1.6</v>
      </c>
      <c r="F11" s="595">
        <v>1.8</v>
      </c>
      <c r="G11" s="100">
        <f t="shared" si="1"/>
        <v>123408</v>
      </c>
      <c r="H11" s="595">
        <v>138834</v>
      </c>
      <c r="I11" s="592">
        <f t="shared" si="2"/>
        <v>-0.1111111111111111</v>
      </c>
      <c r="J11" s="587">
        <v>1.67</v>
      </c>
      <c r="K11" s="95">
        <v>1.42</v>
      </c>
      <c r="L11" s="186">
        <f t="shared" si="0"/>
        <v>0.10970421270114997</v>
      </c>
      <c r="M11" s="559" t="s">
        <v>377</v>
      </c>
    </row>
    <row r="12" spans="1:13" ht="15" customHeight="1" x14ac:dyDescent="0.2">
      <c r="A12" s="185" t="s">
        <v>176</v>
      </c>
      <c r="B12" s="97" t="s">
        <v>177</v>
      </c>
      <c r="C12" s="98">
        <f>'204.9060.S'!D10</f>
        <v>2</v>
      </c>
      <c r="D12" s="99" t="s">
        <v>4</v>
      </c>
      <c r="E12" s="583">
        <v>350</v>
      </c>
      <c r="F12" s="595">
        <v>700</v>
      </c>
      <c r="G12" s="100">
        <f t="shared" si="1"/>
        <v>700</v>
      </c>
      <c r="H12" s="595">
        <v>1400</v>
      </c>
      <c r="I12" s="592">
        <f t="shared" si="2"/>
        <v>-0.5</v>
      </c>
      <c r="J12" s="588" t="s">
        <v>325</v>
      </c>
      <c r="K12" s="95">
        <v>300</v>
      </c>
      <c r="L12" s="96">
        <f t="shared" si="0"/>
        <v>6.2226880664790758E-4</v>
      </c>
      <c r="M12" s="184"/>
    </row>
    <row r="13" spans="1:13" ht="39.75" customHeight="1" x14ac:dyDescent="0.2">
      <c r="A13" s="183" t="s">
        <v>15</v>
      </c>
      <c r="B13" s="97" t="s">
        <v>152</v>
      </c>
      <c r="C13" s="98">
        <f>'211.0100'!B9</f>
        <v>1</v>
      </c>
      <c r="D13" s="99" t="s">
        <v>8</v>
      </c>
      <c r="E13" s="583">
        <v>20000</v>
      </c>
      <c r="F13" s="595">
        <v>9000</v>
      </c>
      <c r="G13" s="100">
        <f t="shared" si="1"/>
        <v>20000</v>
      </c>
      <c r="H13" s="595">
        <v>9000</v>
      </c>
      <c r="I13" s="592">
        <f t="shared" si="2"/>
        <v>1.2222222222222223</v>
      </c>
      <c r="J13" s="588" t="s">
        <v>325</v>
      </c>
      <c r="K13" s="95">
        <v>20000</v>
      </c>
      <c r="L13" s="96">
        <f t="shared" si="0"/>
        <v>1.7779108761368789E-2</v>
      </c>
      <c r="M13" s="560" t="s">
        <v>390</v>
      </c>
    </row>
    <row r="14" spans="1:13" ht="54" customHeight="1" x14ac:dyDescent="0.2">
      <c r="A14" s="176" t="s">
        <v>154</v>
      </c>
      <c r="B14" s="97" t="s">
        <v>153</v>
      </c>
      <c r="C14" s="98">
        <f>'213.0100'!B8</f>
        <v>1</v>
      </c>
      <c r="D14" s="99" t="s">
        <v>4</v>
      </c>
      <c r="E14" s="583">
        <v>2000</v>
      </c>
      <c r="F14" s="595">
        <v>1200</v>
      </c>
      <c r="G14" s="100">
        <f>C14*E14</f>
        <v>2000</v>
      </c>
      <c r="H14" s="595">
        <v>1200</v>
      </c>
      <c r="I14" s="592">
        <f t="shared" si="2"/>
        <v>0.66666666666666663</v>
      </c>
      <c r="J14" s="588" t="s">
        <v>325</v>
      </c>
      <c r="K14" s="95">
        <v>1975</v>
      </c>
      <c r="L14" s="96">
        <f t="shared" si="0"/>
        <v>1.7779108761368787E-3</v>
      </c>
      <c r="M14" s="485" t="s">
        <v>391</v>
      </c>
    </row>
    <row r="15" spans="1:13" ht="55.5" customHeight="1" x14ac:dyDescent="0.2">
      <c r="A15" s="102">
        <v>305.01100000000002</v>
      </c>
      <c r="B15" s="97" t="s">
        <v>128</v>
      </c>
      <c r="C15" s="98">
        <f>'BASE AGG'!D13</f>
        <v>3392</v>
      </c>
      <c r="D15" s="99" t="s">
        <v>27</v>
      </c>
      <c r="E15" s="583">
        <v>19</v>
      </c>
      <c r="F15" s="595">
        <v>23</v>
      </c>
      <c r="G15" s="100">
        <f>C15*E15</f>
        <v>64448</v>
      </c>
      <c r="H15" s="595">
        <v>78016</v>
      </c>
      <c r="I15" s="592">
        <f t="shared" si="2"/>
        <v>-0.17391304347826086</v>
      </c>
      <c r="J15" s="587">
        <v>22.187000000000001</v>
      </c>
      <c r="K15" s="95">
        <v>16.71</v>
      </c>
      <c r="L15" s="186">
        <f t="shared" si="0"/>
        <v>5.7291400072634779E-2</v>
      </c>
      <c r="M15" s="488" t="s">
        <v>377</v>
      </c>
    </row>
    <row r="16" spans="1:13" ht="15" customHeight="1" x14ac:dyDescent="0.2">
      <c r="A16" s="102">
        <v>455.06049999999999</v>
      </c>
      <c r="B16" s="97" t="s">
        <v>44</v>
      </c>
      <c r="C16" s="98">
        <f>ROUND('ASPHALT ITEMS'!D13,0)</f>
        <v>5419</v>
      </c>
      <c r="D16" s="99" t="s">
        <v>45</v>
      </c>
      <c r="E16" s="583">
        <v>3</v>
      </c>
      <c r="F16" s="595">
        <v>2.8</v>
      </c>
      <c r="G16" s="100">
        <f t="shared" si="1"/>
        <v>16257</v>
      </c>
      <c r="H16" s="595">
        <v>15173.2</v>
      </c>
      <c r="I16" s="592">
        <f t="shared" si="2"/>
        <v>7.1428571428571383E-2</v>
      </c>
      <c r="J16" s="587">
        <v>2.81</v>
      </c>
      <c r="K16" s="95">
        <v>3.1</v>
      </c>
      <c r="L16" s="96">
        <f t="shared" si="0"/>
        <v>1.4451748556678619E-2</v>
      </c>
      <c r="M16" s="187"/>
    </row>
    <row r="17" spans="1:13" ht="15" customHeight="1" x14ac:dyDescent="0.2">
      <c r="A17" s="102">
        <v>460.2</v>
      </c>
      <c r="B17" s="97" t="s">
        <v>93</v>
      </c>
      <c r="C17" s="98">
        <v>4280</v>
      </c>
      <c r="D17" s="99" t="s">
        <v>92</v>
      </c>
      <c r="E17" s="100">
        <v>1</v>
      </c>
      <c r="F17" s="595">
        <v>1</v>
      </c>
      <c r="G17" s="100">
        <f t="shared" si="1"/>
        <v>4280</v>
      </c>
      <c r="H17" s="595">
        <v>4280</v>
      </c>
      <c r="I17" s="592">
        <f t="shared" si="2"/>
        <v>0</v>
      </c>
      <c r="J17" s="588" t="s">
        <v>325</v>
      </c>
      <c r="K17" s="188" t="s">
        <v>325</v>
      </c>
      <c r="L17" s="96">
        <f t="shared" si="0"/>
        <v>3.8047292749329204E-3</v>
      </c>
      <c r="M17" s="187"/>
    </row>
    <row r="18" spans="1:13" ht="133.5" customHeight="1" x14ac:dyDescent="0.2">
      <c r="A18" s="102">
        <v>460.6225</v>
      </c>
      <c r="B18" s="97" t="s">
        <v>129</v>
      </c>
      <c r="C18" s="98">
        <f>'ASPHALT ITEMS'!E13</f>
        <v>6680</v>
      </c>
      <c r="D18" s="99" t="s">
        <v>27</v>
      </c>
      <c r="E18" s="583">
        <v>80</v>
      </c>
      <c r="F18" s="595">
        <v>71.599999999999994</v>
      </c>
      <c r="G18" s="100">
        <f>C18*E18</f>
        <v>534400</v>
      </c>
      <c r="H18" s="595">
        <v>478288</v>
      </c>
      <c r="I18" s="592">
        <f t="shared" si="2"/>
        <v>0.11731843575418995</v>
      </c>
      <c r="J18" s="588" t="s">
        <v>325</v>
      </c>
      <c r="K18" s="95">
        <v>71.709999999999994</v>
      </c>
      <c r="L18" s="186">
        <f t="shared" si="0"/>
        <v>0.47505778610377403</v>
      </c>
      <c r="M18" s="485" t="s">
        <v>404</v>
      </c>
    </row>
    <row r="19" spans="1:13" ht="54.75" customHeight="1" x14ac:dyDescent="0.2">
      <c r="A19" s="102">
        <v>465.01100000000002</v>
      </c>
      <c r="B19" s="97" t="s">
        <v>359</v>
      </c>
      <c r="C19" s="98">
        <f>'ASPHALT ITEMS'!F13</f>
        <v>200</v>
      </c>
      <c r="D19" s="99" t="s">
        <v>27</v>
      </c>
      <c r="E19" s="583">
        <v>148</v>
      </c>
      <c r="F19" s="595">
        <v>110</v>
      </c>
      <c r="G19" s="100">
        <f>C19*E19</f>
        <v>29600</v>
      </c>
      <c r="H19" s="595">
        <v>22000</v>
      </c>
      <c r="I19" s="592">
        <f t="shared" si="2"/>
        <v>0.34545454545454546</v>
      </c>
      <c r="J19" s="588">
        <v>121.6</v>
      </c>
      <c r="K19" s="95">
        <v>148.86000000000001</v>
      </c>
      <c r="L19" s="96">
        <f t="shared" si="0"/>
        <v>2.6313080966825806E-2</v>
      </c>
      <c r="M19" s="488" t="s">
        <v>378</v>
      </c>
    </row>
    <row r="20" spans="1:13" ht="15" customHeight="1" x14ac:dyDescent="0.2">
      <c r="A20" s="102">
        <v>465.04750000000001</v>
      </c>
      <c r="B20" s="97" t="s">
        <v>156</v>
      </c>
      <c r="C20" s="98">
        <f>'RUMBLE STRIPS'!C10</f>
        <v>18685</v>
      </c>
      <c r="D20" s="99" t="s">
        <v>14</v>
      </c>
      <c r="E20" s="100">
        <v>0.28000000000000003</v>
      </c>
      <c r="F20" s="595">
        <v>0.28000000000000003</v>
      </c>
      <c r="G20" s="100">
        <f t="shared" si="1"/>
        <v>5231.8</v>
      </c>
      <c r="H20" s="595">
        <v>5231.8</v>
      </c>
      <c r="I20" s="592">
        <f t="shared" si="2"/>
        <v>0</v>
      </c>
      <c r="J20" s="587">
        <v>0.28999999999999998</v>
      </c>
      <c r="K20" s="95">
        <v>0.25</v>
      </c>
      <c r="L20" s="96">
        <f t="shared" si="0"/>
        <v>4.6508370608864614E-3</v>
      </c>
      <c r="M20" s="101"/>
    </row>
    <row r="21" spans="1:13" ht="15" customHeight="1" x14ac:dyDescent="0.2">
      <c r="A21" s="102">
        <v>522.10239999999999</v>
      </c>
      <c r="B21" s="97" t="s">
        <v>130</v>
      </c>
      <c r="C21" s="98">
        <f>'Culvert Pipe'!D14</f>
        <v>2</v>
      </c>
      <c r="D21" s="99" t="s">
        <v>4</v>
      </c>
      <c r="E21" s="100">
        <v>1100</v>
      </c>
      <c r="F21" s="595">
        <v>1100</v>
      </c>
      <c r="G21" s="100">
        <f t="shared" si="1"/>
        <v>2200</v>
      </c>
      <c r="H21" s="595">
        <v>2200</v>
      </c>
      <c r="I21" s="592">
        <f t="shared" si="2"/>
        <v>0</v>
      </c>
      <c r="J21" s="587">
        <v>1002.9</v>
      </c>
      <c r="K21" s="95">
        <v>1084.6300000000001</v>
      </c>
      <c r="L21" s="96">
        <f t="shared" si="0"/>
        <v>1.9557019637505666E-3</v>
      </c>
      <c r="M21" s="101"/>
    </row>
    <row r="22" spans="1:13" ht="27" customHeight="1" x14ac:dyDescent="0.2">
      <c r="A22" s="102">
        <v>614.04</v>
      </c>
      <c r="B22" s="97" t="s">
        <v>159</v>
      </c>
      <c r="C22" s="98">
        <f>GUARDRAIL!C13</f>
        <v>725</v>
      </c>
      <c r="D22" s="99" t="s">
        <v>14</v>
      </c>
      <c r="E22" s="583">
        <v>15</v>
      </c>
      <c r="F22" s="595">
        <v>17</v>
      </c>
      <c r="G22" s="100">
        <f t="shared" si="1"/>
        <v>10875</v>
      </c>
      <c r="H22" s="595">
        <v>12325</v>
      </c>
      <c r="I22" s="592">
        <f t="shared" si="2"/>
        <v>-0.11764705882352941</v>
      </c>
      <c r="J22" s="588" t="s">
        <v>325</v>
      </c>
      <c r="K22" s="95">
        <v>11.1</v>
      </c>
      <c r="L22" s="96">
        <f t="shared" si="0"/>
        <v>9.6673903889942774E-3</v>
      </c>
      <c r="M22" s="487" t="s">
        <v>374</v>
      </c>
    </row>
    <row r="23" spans="1:13" ht="24.75" customHeight="1" x14ac:dyDescent="0.2">
      <c r="A23" s="102">
        <v>614.09500000000003</v>
      </c>
      <c r="B23" s="97" t="s">
        <v>160</v>
      </c>
      <c r="C23" s="98">
        <f>GUARDRAIL!D13</f>
        <v>6</v>
      </c>
      <c r="D23" s="99" t="s">
        <v>4</v>
      </c>
      <c r="E23" s="100">
        <v>125</v>
      </c>
      <c r="F23" s="595">
        <v>125</v>
      </c>
      <c r="G23" s="100">
        <f t="shared" si="1"/>
        <v>750</v>
      </c>
      <c r="H23" s="595">
        <v>750</v>
      </c>
      <c r="I23" s="592">
        <f t="shared" si="2"/>
        <v>0</v>
      </c>
      <c r="J23" s="588" t="s">
        <v>325</v>
      </c>
      <c r="K23" s="95">
        <v>112.5</v>
      </c>
      <c r="L23" s="96">
        <f t="shared" si="0"/>
        <v>6.6671657855132949E-4</v>
      </c>
      <c r="M23" s="487" t="s">
        <v>374</v>
      </c>
    </row>
    <row r="24" spans="1:13" ht="27" customHeight="1" x14ac:dyDescent="0.2">
      <c r="A24" s="102">
        <v>614.0951</v>
      </c>
      <c r="B24" s="97" t="s">
        <v>161</v>
      </c>
      <c r="C24" s="98">
        <f>GUARDRAIL!E13</f>
        <v>100</v>
      </c>
      <c r="D24" s="99" t="s">
        <v>14</v>
      </c>
      <c r="E24" s="100">
        <v>16</v>
      </c>
      <c r="F24" s="595">
        <v>16</v>
      </c>
      <c r="G24" s="100">
        <f t="shared" si="1"/>
        <v>1600</v>
      </c>
      <c r="H24" s="595">
        <v>1600</v>
      </c>
      <c r="I24" s="592">
        <f t="shared" si="2"/>
        <v>0</v>
      </c>
      <c r="J24" s="588" t="s">
        <v>325</v>
      </c>
      <c r="K24" s="95">
        <v>14</v>
      </c>
      <c r="L24" s="96">
        <f t="shared" si="0"/>
        <v>1.422328700909503E-3</v>
      </c>
      <c r="M24" s="487" t="s">
        <v>374</v>
      </c>
    </row>
    <row r="25" spans="1:13" ht="15" customHeight="1" x14ac:dyDescent="0.2">
      <c r="A25" s="102">
        <v>614.09519999999998</v>
      </c>
      <c r="B25" s="97" t="s">
        <v>168</v>
      </c>
      <c r="C25" s="98">
        <f>GUARDRAIL!F13</f>
        <v>15</v>
      </c>
      <c r="D25" s="99" t="s">
        <v>4</v>
      </c>
      <c r="E25" s="100">
        <v>6</v>
      </c>
      <c r="F25" s="595">
        <v>6</v>
      </c>
      <c r="G25" s="100">
        <f t="shared" si="1"/>
        <v>90</v>
      </c>
      <c r="H25" s="595">
        <v>90</v>
      </c>
      <c r="I25" s="592">
        <f t="shared" si="2"/>
        <v>0</v>
      </c>
      <c r="J25" s="588" t="s">
        <v>325</v>
      </c>
      <c r="K25" s="95">
        <v>5.9</v>
      </c>
      <c r="L25" s="96">
        <f t="shared" si="0"/>
        <v>8.0005989426159551E-5</v>
      </c>
      <c r="M25" s="101"/>
    </row>
    <row r="26" spans="1:13" ht="15" customHeight="1" x14ac:dyDescent="0.2">
      <c r="A26" s="102">
        <v>618.01</v>
      </c>
      <c r="B26" s="97" t="s">
        <v>158</v>
      </c>
      <c r="C26" s="98">
        <f>'618.0100'!B9</f>
        <v>1</v>
      </c>
      <c r="D26" s="99" t="s">
        <v>4</v>
      </c>
      <c r="E26" s="583">
        <v>100</v>
      </c>
      <c r="F26" s="595">
        <v>1000</v>
      </c>
      <c r="G26" s="100">
        <f t="shared" si="1"/>
        <v>100</v>
      </c>
      <c r="H26" s="595">
        <v>1000</v>
      </c>
      <c r="I26" s="592">
        <f t="shared" si="2"/>
        <v>-0.9</v>
      </c>
      <c r="J26" s="588" t="s">
        <v>325</v>
      </c>
      <c r="K26" s="188">
        <v>100</v>
      </c>
      <c r="L26" s="96">
        <f t="shared" si="0"/>
        <v>8.8895543806843938E-5</v>
      </c>
      <c r="M26" s="101"/>
    </row>
    <row r="27" spans="1:13" ht="90" customHeight="1" x14ac:dyDescent="0.2">
      <c r="A27" s="176">
        <v>619.1</v>
      </c>
      <c r="B27" s="97" t="s">
        <v>94</v>
      </c>
      <c r="C27" s="98">
        <f>'619.1000'!B11</f>
        <v>1</v>
      </c>
      <c r="D27" s="99" t="s">
        <v>4</v>
      </c>
      <c r="E27" s="583">
        <v>90000</v>
      </c>
      <c r="F27" s="595">
        <v>40000</v>
      </c>
      <c r="G27" s="100">
        <f t="shared" si="1"/>
        <v>90000</v>
      </c>
      <c r="H27" s="595">
        <v>40000</v>
      </c>
      <c r="I27" s="592">
        <f t="shared" si="2"/>
        <v>1.25</v>
      </c>
      <c r="J27" s="588" t="s">
        <v>325</v>
      </c>
      <c r="K27" s="188">
        <v>85470.2</v>
      </c>
      <c r="L27" s="186">
        <f t="shared" si="0"/>
        <v>8.0005989426159538E-2</v>
      </c>
      <c r="M27" s="487" t="s">
        <v>396</v>
      </c>
    </row>
    <row r="28" spans="1:13" ht="54.75" customHeight="1" x14ac:dyDescent="0.2">
      <c r="A28" s="176">
        <v>624.01</v>
      </c>
      <c r="B28" s="97" t="s">
        <v>346</v>
      </c>
      <c r="C28" s="98">
        <f>ROUND('624.0100'!B11,0)</f>
        <v>51</v>
      </c>
      <c r="D28" s="99" t="s">
        <v>347</v>
      </c>
      <c r="E28" s="583">
        <v>35</v>
      </c>
      <c r="F28" s="595">
        <v>38</v>
      </c>
      <c r="G28" s="100">
        <f t="shared" si="1"/>
        <v>1785</v>
      </c>
      <c r="H28" s="595">
        <v>1938</v>
      </c>
      <c r="I28" s="592">
        <f t="shared" si="2"/>
        <v>-7.8947368421052627E-2</v>
      </c>
      <c r="J28" s="588">
        <v>32.99</v>
      </c>
      <c r="K28" s="188">
        <v>34</v>
      </c>
      <c r="L28" s="96">
        <f t="shared" si="0"/>
        <v>1.5867854569521643E-3</v>
      </c>
      <c r="M28" s="487" t="s">
        <v>394</v>
      </c>
    </row>
    <row r="29" spans="1:13" ht="15" customHeight="1" x14ac:dyDescent="0.2">
      <c r="A29" s="176">
        <v>625.01</v>
      </c>
      <c r="B29" s="97" t="s">
        <v>51</v>
      </c>
      <c r="C29" s="98">
        <f>ROUND(RESTORATION!D14,0)</f>
        <v>17</v>
      </c>
      <c r="D29" s="99" t="s">
        <v>10</v>
      </c>
      <c r="E29" s="100">
        <v>15</v>
      </c>
      <c r="F29" s="595">
        <v>15</v>
      </c>
      <c r="G29" s="100">
        <f t="shared" si="1"/>
        <v>255</v>
      </c>
      <c r="H29" s="595">
        <v>255</v>
      </c>
      <c r="I29" s="592">
        <f t="shared" si="2"/>
        <v>0</v>
      </c>
      <c r="J29" s="588">
        <v>2.0259999999999998</v>
      </c>
      <c r="K29" s="95">
        <v>14.17</v>
      </c>
      <c r="L29" s="96">
        <f t="shared" si="0"/>
        <v>2.2668363670745205E-4</v>
      </c>
      <c r="M29" s="101"/>
    </row>
    <row r="30" spans="1:13" ht="15" customHeight="1" x14ac:dyDescent="0.2">
      <c r="A30" s="176">
        <v>627.02</v>
      </c>
      <c r="B30" s="97" t="s">
        <v>131</v>
      </c>
      <c r="C30" s="98">
        <f>ROUND(RESTORATION!E14,0)</f>
        <v>17</v>
      </c>
      <c r="D30" s="99" t="s">
        <v>10</v>
      </c>
      <c r="E30" s="100">
        <v>8</v>
      </c>
      <c r="F30" s="595">
        <v>8</v>
      </c>
      <c r="G30" s="100">
        <f t="shared" si="1"/>
        <v>136</v>
      </c>
      <c r="H30" s="595">
        <v>136</v>
      </c>
      <c r="I30" s="592">
        <f t="shared" si="2"/>
        <v>0</v>
      </c>
      <c r="J30" s="587">
        <v>0.17</v>
      </c>
      <c r="K30" s="95">
        <v>5.38</v>
      </c>
      <c r="L30" s="96">
        <f t="shared" si="0"/>
        <v>1.2089793957730775E-4</v>
      </c>
      <c r="M30" s="101"/>
    </row>
    <row r="31" spans="1:13" ht="15" customHeight="1" x14ac:dyDescent="0.2">
      <c r="A31" s="176">
        <v>628.11040000000003</v>
      </c>
      <c r="B31" s="97" t="s">
        <v>171</v>
      </c>
      <c r="C31" s="98">
        <f>'EROSION CONTROL'!D14</f>
        <v>20</v>
      </c>
      <c r="D31" s="99" t="s">
        <v>4</v>
      </c>
      <c r="E31" s="100">
        <v>16</v>
      </c>
      <c r="F31" s="595">
        <v>16</v>
      </c>
      <c r="G31" s="100">
        <f t="shared" si="1"/>
        <v>320</v>
      </c>
      <c r="H31" s="595">
        <v>320</v>
      </c>
      <c r="I31" s="592">
        <f t="shared" si="2"/>
        <v>0</v>
      </c>
      <c r="J31" s="587">
        <v>16.98</v>
      </c>
      <c r="K31" s="95">
        <v>15</v>
      </c>
      <c r="L31" s="96">
        <f t="shared" si="0"/>
        <v>2.844657401819006E-4</v>
      </c>
      <c r="M31" s="101"/>
    </row>
    <row r="32" spans="1:13" ht="15" customHeight="1" x14ac:dyDescent="0.2">
      <c r="A32" s="176">
        <v>628.15039999999999</v>
      </c>
      <c r="B32" s="97" t="s">
        <v>132</v>
      </c>
      <c r="C32" s="98">
        <f>'EROSION CONTROL'!E14</f>
        <v>100</v>
      </c>
      <c r="D32" s="99" t="s">
        <v>14</v>
      </c>
      <c r="E32" s="100">
        <v>4</v>
      </c>
      <c r="F32" s="595">
        <v>4</v>
      </c>
      <c r="G32" s="100">
        <f t="shared" si="1"/>
        <v>400</v>
      </c>
      <c r="H32" s="595">
        <v>400</v>
      </c>
      <c r="I32" s="592">
        <f t="shared" si="2"/>
        <v>0</v>
      </c>
      <c r="J32" s="587">
        <v>2.77</v>
      </c>
      <c r="K32" s="95">
        <v>6.67</v>
      </c>
      <c r="L32" s="96">
        <f t="shared" si="0"/>
        <v>3.5558217522737575E-4</v>
      </c>
      <c r="M32" s="101"/>
    </row>
    <row r="33" spans="1:16384" ht="15" customHeight="1" x14ac:dyDescent="0.2">
      <c r="A33" s="176">
        <v>628.15200000000004</v>
      </c>
      <c r="B33" s="97" t="s">
        <v>133</v>
      </c>
      <c r="C33" s="98">
        <f>'EROSION CONTROL'!F14</f>
        <v>100</v>
      </c>
      <c r="D33" s="99" t="s">
        <v>14</v>
      </c>
      <c r="E33" s="100">
        <v>1</v>
      </c>
      <c r="F33" s="595">
        <v>1</v>
      </c>
      <c r="G33" s="100">
        <f t="shared" si="1"/>
        <v>100</v>
      </c>
      <c r="H33" s="595">
        <v>100</v>
      </c>
      <c r="I33" s="592">
        <f t="shared" si="2"/>
        <v>0</v>
      </c>
      <c r="J33" s="587">
        <v>0.05</v>
      </c>
      <c r="K33" s="95">
        <v>0.8</v>
      </c>
      <c r="L33" s="96">
        <f t="shared" si="0"/>
        <v>8.8895543806843938E-5</v>
      </c>
      <c r="M33" s="101"/>
    </row>
    <row r="34" spans="1:16384" ht="15" customHeight="1" x14ac:dyDescent="0.2">
      <c r="A34" s="176">
        <v>628.19050000000004</v>
      </c>
      <c r="B34" s="97" t="s">
        <v>134</v>
      </c>
      <c r="C34" s="98">
        <f>'628.1910'!C11</f>
        <v>4</v>
      </c>
      <c r="D34" s="99" t="s">
        <v>4</v>
      </c>
      <c r="E34" s="100">
        <v>250</v>
      </c>
      <c r="F34" s="595">
        <v>250</v>
      </c>
      <c r="G34" s="100">
        <f t="shared" si="1"/>
        <v>1000</v>
      </c>
      <c r="H34" s="595">
        <v>1000</v>
      </c>
      <c r="I34" s="592">
        <f t="shared" si="2"/>
        <v>0</v>
      </c>
      <c r="J34" s="588">
        <v>234.03</v>
      </c>
      <c r="K34" s="95">
        <v>250</v>
      </c>
      <c r="L34" s="96">
        <f t="shared" si="0"/>
        <v>8.8895543806843935E-4</v>
      </c>
      <c r="M34" s="101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</row>
    <row r="35" spans="1:16384" ht="15" customHeight="1" x14ac:dyDescent="0.2">
      <c r="A35" s="176">
        <v>628.19100000000003</v>
      </c>
      <c r="B35" s="97" t="s">
        <v>135</v>
      </c>
      <c r="C35" s="98">
        <f>'628.1910'!D11</f>
        <v>2</v>
      </c>
      <c r="D35" s="99" t="s">
        <v>4</v>
      </c>
      <c r="E35" s="100">
        <v>200</v>
      </c>
      <c r="F35" s="595">
        <v>200</v>
      </c>
      <c r="G35" s="100">
        <f t="shared" si="1"/>
        <v>400</v>
      </c>
      <c r="H35" s="595">
        <v>400</v>
      </c>
      <c r="I35" s="592">
        <f t="shared" si="2"/>
        <v>0</v>
      </c>
      <c r="J35" s="588">
        <v>204.55</v>
      </c>
      <c r="K35" s="95">
        <v>183.33</v>
      </c>
      <c r="L35" s="96">
        <f t="shared" si="0"/>
        <v>3.5558217522737575E-4</v>
      </c>
      <c r="M35" s="101"/>
    </row>
    <row r="36" spans="1:16384" ht="15" customHeight="1" x14ac:dyDescent="0.2">
      <c r="A36" s="176">
        <v>628.20039999999995</v>
      </c>
      <c r="B36" s="97" t="s">
        <v>136</v>
      </c>
      <c r="C36" s="98">
        <f>'EROSION CONTROL'!G14</f>
        <v>27</v>
      </c>
      <c r="D36" s="99" t="s">
        <v>10</v>
      </c>
      <c r="E36" s="100">
        <v>10</v>
      </c>
      <c r="F36" s="595">
        <v>10</v>
      </c>
      <c r="G36" s="100">
        <f t="shared" si="1"/>
        <v>270</v>
      </c>
      <c r="H36" s="595">
        <v>270</v>
      </c>
      <c r="I36" s="592">
        <f t="shared" si="2"/>
        <v>0</v>
      </c>
      <c r="J36" s="587">
        <v>1.8</v>
      </c>
      <c r="K36" s="95">
        <v>6.4</v>
      </c>
      <c r="L36" s="96">
        <f t="shared" si="0"/>
        <v>2.4001796827847864E-4</v>
      </c>
      <c r="M36" s="101"/>
    </row>
    <row r="37" spans="1:16384" s="104" customFormat="1" ht="15" customHeight="1" x14ac:dyDescent="0.2">
      <c r="A37" s="176">
        <v>628.75549999999998</v>
      </c>
      <c r="B37" s="97" t="s">
        <v>137</v>
      </c>
      <c r="C37" s="98">
        <f>'EROSION CONTROL'!H14</f>
        <v>24</v>
      </c>
      <c r="D37" s="99" t="s">
        <v>4</v>
      </c>
      <c r="E37" s="583">
        <v>20</v>
      </c>
      <c r="F37" s="595">
        <v>40</v>
      </c>
      <c r="G37" s="100">
        <f t="shared" si="1"/>
        <v>480</v>
      </c>
      <c r="H37" s="595">
        <v>960</v>
      </c>
      <c r="I37" s="592">
        <f t="shared" si="2"/>
        <v>-0.5</v>
      </c>
      <c r="J37" s="587">
        <v>16.420000000000002</v>
      </c>
      <c r="K37" s="95">
        <v>16.170000000000002</v>
      </c>
      <c r="L37" s="96">
        <f t="shared" si="0"/>
        <v>4.266986102728509E-4</v>
      </c>
      <c r="M37" s="101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85"/>
      <c r="CG37" s="85"/>
      <c r="CH37" s="85"/>
      <c r="CI37" s="85"/>
      <c r="CJ37" s="85"/>
      <c r="CK37" s="85"/>
      <c r="CL37" s="85"/>
      <c r="CM37" s="85"/>
      <c r="CN37" s="85"/>
      <c r="CO37" s="85"/>
      <c r="CP37" s="85"/>
      <c r="CQ37" s="85"/>
      <c r="CR37" s="85"/>
      <c r="CS37" s="85"/>
      <c r="CT37" s="85"/>
      <c r="CU37" s="85"/>
      <c r="CV37" s="85"/>
      <c r="CW37" s="85"/>
      <c r="CX37" s="85"/>
      <c r="CY37" s="85"/>
      <c r="CZ37" s="85"/>
      <c r="DA37" s="85"/>
      <c r="DB37" s="85"/>
      <c r="DC37" s="85"/>
      <c r="DD37" s="85"/>
      <c r="DE37" s="85"/>
      <c r="DF37" s="85"/>
      <c r="DG37" s="85"/>
      <c r="DH37" s="85"/>
      <c r="DI37" s="85"/>
      <c r="DJ37" s="85"/>
      <c r="DK37" s="85"/>
      <c r="DL37" s="85"/>
      <c r="DM37" s="85"/>
      <c r="DN37" s="85"/>
      <c r="DO37" s="85"/>
      <c r="DP37" s="85"/>
      <c r="DQ37" s="85"/>
      <c r="DR37" s="85"/>
      <c r="DS37" s="85"/>
      <c r="DT37" s="85"/>
      <c r="DU37" s="85"/>
      <c r="DV37" s="85"/>
      <c r="DW37" s="85"/>
      <c r="DX37" s="85"/>
      <c r="DY37" s="85"/>
      <c r="DZ37" s="85"/>
      <c r="EA37" s="85"/>
      <c r="EB37" s="85"/>
      <c r="EC37" s="85"/>
      <c r="ED37" s="85"/>
      <c r="EE37" s="85"/>
      <c r="EF37" s="85"/>
      <c r="EG37" s="85"/>
      <c r="EH37" s="85"/>
      <c r="EI37" s="85"/>
      <c r="EJ37" s="85"/>
      <c r="EK37" s="85"/>
      <c r="EL37" s="85"/>
      <c r="EM37" s="85"/>
      <c r="EN37" s="85"/>
      <c r="EO37" s="85"/>
      <c r="EP37" s="85"/>
      <c r="EQ37" s="85"/>
      <c r="ER37" s="85"/>
      <c r="ES37" s="85"/>
      <c r="ET37" s="85"/>
      <c r="EU37" s="85"/>
      <c r="EV37" s="85"/>
      <c r="EW37" s="85"/>
      <c r="EX37" s="85"/>
      <c r="EY37" s="85"/>
      <c r="EZ37" s="85"/>
      <c r="FA37" s="85"/>
      <c r="FB37" s="85"/>
      <c r="FC37" s="85"/>
      <c r="FD37" s="85"/>
      <c r="FE37" s="85"/>
      <c r="FF37" s="85"/>
      <c r="FG37" s="85"/>
      <c r="FH37" s="85"/>
      <c r="FI37" s="85"/>
      <c r="FJ37" s="85"/>
      <c r="FK37" s="85"/>
      <c r="FL37" s="85"/>
      <c r="FM37" s="85"/>
      <c r="FN37" s="85"/>
      <c r="FO37" s="85"/>
      <c r="FP37" s="85"/>
      <c r="FQ37" s="85"/>
      <c r="FR37" s="85"/>
      <c r="FS37" s="85"/>
      <c r="FT37" s="85"/>
      <c r="FU37" s="85"/>
      <c r="FV37" s="85"/>
      <c r="FW37" s="85"/>
      <c r="FX37" s="85"/>
      <c r="FY37" s="85"/>
      <c r="FZ37" s="85"/>
      <c r="GA37" s="85"/>
      <c r="GB37" s="85"/>
      <c r="GC37" s="85"/>
      <c r="GD37" s="85"/>
      <c r="GE37" s="85"/>
      <c r="GF37" s="85"/>
      <c r="GG37" s="85"/>
      <c r="GH37" s="85"/>
      <c r="GI37" s="85"/>
      <c r="GJ37" s="85"/>
      <c r="GK37" s="85"/>
      <c r="GL37" s="85"/>
      <c r="GM37" s="85"/>
      <c r="GN37" s="85"/>
      <c r="GO37" s="85"/>
      <c r="GP37" s="85"/>
      <c r="GQ37" s="85"/>
      <c r="GR37" s="85"/>
      <c r="GS37" s="85"/>
      <c r="GT37" s="85"/>
      <c r="GU37" s="85"/>
      <c r="GV37" s="85"/>
      <c r="GW37" s="85"/>
      <c r="GX37" s="85"/>
      <c r="GY37" s="85"/>
      <c r="GZ37" s="85"/>
      <c r="HA37" s="85"/>
      <c r="HB37" s="85"/>
      <c r="HC37" s="85"/>
      <c r="HD37" s="85"/>
      <c r="HE37" s="85"/>
      <c r="HF37" s="85"/>
      <c r="HG37" s="85"/>
      <c r="HH37" s="85"/>
      <c r="HI37" s="85"/>
      <c r="HJ37" s="85"/>
      <c r="HK37" s="85"/>
      <c r="HL37" s="85"/>
      <c r="HM37" s="85"/>
      <c r="HN37" s="85"/>
      <c r="HO37" s="85"/>
      <c r="HP37" s="85"/>
      <c r="HQ37" s="85"/>
      <c r="HR37" s="85"/>
      <c r="HS37" s="85"/>
      <c r="HT37" s="85"/>
      <c r="HU37" s="85"/>
      <c r="HV37" s="85"/>
      <c r="HW37" s="85"/>
      <c r="HX37" s="85"/>
      <c r="HY37" s="85"/>
      <c r="HZ37" s="85"/>
      <c r="IA37" s="85"/>
      <c r="IB37" s="85"/>
      <c r="IC37" s="85"/>
      <c r="ID37" s="85"/>
      <c r="IE37" s="85"/>
      <c r="IF37" s="85"/>
      <c r="IG37" s="85"/>
      <c r="IH37" s="85"/>
      <c r="II37" s="85"/>
      <c r="IJ37" s="85"/>
      <c r="IK37" s="85"/>
      <c r="IL37" s="85"/>
      <c r="IM37" s="85"/>
      <c r="IN37" s="85"/>
      <c r="IO37" s="85"/>
      <c r="IP37" s="85"/>
      <c r="IQ37" s="85"/>
      <c r="IR37" s="85"/>
      <c r="IS37" s="85"/>
      <c r="IT37" s="85"/>
      <c r="IU37" s="85"/>
      <c r="IV37" s="85"/>
      <c r="IW37" s="85"/>
      <c r="IX37" s="85"/>
      <c r="IY37" s="85"/>
      <c r="IZ37" s="85"/>
      <c r="JA37" s="85"/>
      <c r="JB37" s="85"/>
      <c r="JC37" s="85"/>
      <c r="JD37" s="85"/>
      <c r="JE37" s="85"/>
      <c r="JF37" s="85"/>
      <c r="JG37" s="85"/>
      <c r="JH37" s="85"/>
      <c r="JI37" s="85"/>
      <c r="JJ37" s="85"/>
      <c r="JK37" s="85"/>
      <c r="JL37" s="85"/>
      <c r="JM37" s="85"/>
      <c r="JN37" s="85"/>
      <c r="JO37" s="85"/>
      <c r="JP37" s="85"/>
      <c r="JQ37" s="85"/>
      <c r="JR37" s="85"/>
      <c r="JS37" s="85"/>
      <c r="JT37" s="85"/>
      <c r="JU37" s="85"/>
      <c r="JV37" s="85"/>
      <c r="JW37" s="85"/>
      <c r="JX37" s="85"/>
      <c r="JY37" s="85"/>
      <c r="JZ37" s="85"/>
      <c r="KA37" s="85"/>
      <c r="KB37" s="85"/>
      <c r="KC37" s="85"/>
      <c r="KD37" s="85"/>
      <c r="KE37" s="85"/>
      <c r="KF37" s="85"/>
      <c r="KG37" s="85"/>
      <c r="KH37" s="85"/>
      <c r="KI37" s="85"/>
      <c r="KJ37" s="85"/>
      <c r="KK37" s="85"/>
      <c r="KL37" s="85"/>
      <c r="KM37" s="85"/>
      <c r="KN37" s="85"/>
      <c r="KO37" s="85"/>
      <c r="KP37" s="85"/>
      <c r="KQ37" s="85"/>
      <c r="KR37" s="85"/>
      <c r="KS37" s="85"/>
      <c r="KT37" s="85"/>
      <c r="KU37" s="85"/>
      <c r="KV37" s="85"/>
      <c r="KW37" s="85"/>
      <c r="KX37" s="85"/>
      <c r="KY37" s="85"/>
      <c r="KZ37" s="85"/>
      <c r="LA37" s="85"/>
      <c r="LB37" s="85"/>
      <c r="LC37" s="85"/>
      <c r="LD37" s="85"/>
      <c r="LE37" s="85"/>
      <c r="LF37" s="85"/>
      <c r="LG37" s="85"/>
      <c r="LH37" s="85"/>
      <c r="LI37" s="85"/>
      <c r="LJ37" s="85"/>
      <c r="LK37" s="85"/>
      <c r="LL37" s="85"/>
      <c r="LM37" s="85"/>
      <c r="LN37" s="85"/>
      <c r="LO37" s="85"/>
      <c r="LP37" s="85"/>
      <c r="LQ37" s="85"/>
      <c r="LR37" s="85"/>
      <c r="LS37" s="85"/>
      <c r="LT37" s="85"/>
      <c r="LU37" s="85"/>
      <c r="LV37" s="85"/>
      <c r="LW37" s="85"/>
      <c r="LX37" s="85"/>
      <c r="LY37" s="85"/>
      <c r="LZ37" s="85"/>
      <c r="MA37" s="85"/>
      <c r="MB37" s="85"/>
      <c r="MC37" s="85"/>
      <c r="MD37" s="85"/>
      <c r="ME37" s="85"/>
      <c r="MF37" s="85"/>
      <c r="MG37" s="85"/>
      <c r="MH37" s="85"/>
      <c r="MI37" s="85"/>
      <c r="MJ37" s="85"/>
      <c r="MK37" s="85"/>
      <c r="ML37" s="85"/>
      <c r="MM37" s="85"/>
      <c r="MN37" s="85"/>
      <c r="MO37" s="85"/>
      <c r="MP37" s="85"/>
      <c r="MQ37" s="85"/>
      <c r="MR37" s="85"/>
      <c r="MS37" s="85"/>
      <c r="MT37" s="85"/>
      <c r="MU37" s="85"/>
      <c r="MV37" s="85"/>
      <c r="MW37" s="85"/>
      <c r="MX37" s="85"/>
      <c r="MY37" s="85"/>
      <c r="MZ37" s="85"/>
      <c r="NA37" s="85"/>
      <c r="NB37" s="85"/>
      <c r="NC37" s="85"/>
      <c r="ND37" s="85"/>
      <c r="NE37" s="85"/>
      <c r="NF37" s="85"/>
      <c r="NG37" s="85"/>
      <c r="NH37" s="85"/>
      <c r="NI37" s="85"/>
      <c r="NJ37" s="85"/>
      <c r="NK37" s="85"/>
      <c r="NL37" s="85"/>
      <c r="NM37" s="85"/>
      <c r="NN37" s="85"/>
      <c r="NO37" s="85"/>
      <c r="NP37" s="85"/>
      <c r="NQ37" s="85"/>
      <c r="NR37" s="85"/>
      <c r="NS37" s="85"/>
      <c r="NT37" s="85"/>
      <c r="NU37" s="85"/>
      <c r="NV37" s="85"/>
      <c r="NW37" s="85"/>
      <c r="NX37" s="85"/>
      <c r="NY37" s="85"/>
      <c r="NZ37" s="85"/>
      <c r="OA37" s="85"/>
      <c r="OB37" s="85"/>
      <c r="OC37" s="85"/>
      <c r="OD37" s="85"/>
      <c r="OE37" s="85"/>
      <c r="OF37" s="85"/>
      <c r="OG37" s="85"/>
      <c r="OH37" s="85"/>
      <c r="OI37" s="85"/>
      <c r="OJ37" s="85"/>
      <c r="OK37" s="85"/>
      <c r="OL37" s="85"/>
      <c r="OM37" s="85"/>
      <c r="ON37" s="85"/>
      <c r="OO37" s="85"/>
      <c r="OP37" s="85"/>
      <c r="OQ37" s="85"/>
      <c r="OR37" s="85"/>
      <c r="OS37" s="85"/>
      <c r="OT37" s="85"/>
      <c r="OU37" s="85"/>
      <c r="OV37" s="85"/>
      <c r="OW37" s="85"/>
      <c r="OX37" s="85"/>
      <c r="OY37" s="85"/>
      <c r="OZ37" s="85"/>
      <c r="PA37" s="85"/>
      <c r="PB37" s="85"/>
      <c r="PC37" s="85"/>
      <c r="PD37" s="85"/>
      <c r="PE37" s="85"/>
      <c r="PF37" s="85"/>
      <c r="PG37" s="85"/>
      <c r="PH37" s="85"/>
      <c r="PI37" s="85"/>
      <c r="PJ37" s="85"/>
      <c r="PK37" s="85"/>
      <c r="PL37" s="85"/>
      <c r="PM37" s="85"/>
      <c r="PN37" s="85"/>
      <c r="PO37" s="85"/>
      <c r="PP37" s="85"/>
      <c r="PQ37" s="85"/>
      <c r="PR37" s="85"/>
      <c r="PS37" s="85"/>
      <c r="PT37" s="85"/>
      <c r="PU37" s="85"/>
      <c r="PV37" s="85"/>
      <c r="PW37" s="85"/>
      <c r="PX37" s="85"/>
      <c r="PY37" s="85"/>
      <c r="PZ37" s="85"/>
      <c r="QA37" s="85"/>
      <c r="QB37" s="85"/>
      <c r="QC37" s="85"/>
      <c r="QD37" s="85"/>
      <c r="QE37" s="85"/>
      <c r="QF37" s="85"/>
      <c r="QG37" s="85"/>
      <c r="QH37" s="85"/>
      <c r="QI37" s="85"/>
      <c r="QJ37" s="85"/>
      <c r="QK37" s="85"/>
      <c r="QL37" s="85"/>
      <c r="QM37" s="85"/>
      <c r="QN37" s="85"/>
      <c r="QO37" s="85"/>
      <c r="QP37" s="85"/>
      <c r="QQ37" s="85"/>
      <c r="QR37" s="85"/>
      <c r="QS37" s="85"/>
      <c r="QT37" s="85"/>
      <c r="QU37" s="85"/>
      <c r="QV37" s="85"/>
      <c r="QW37" s="85"/>
      <c r="QX37" s="85"/>
      <c r="QY37" s="85"/>
      <c r="QZ37" s="85"/>
      <c r="RA37" s="85"/>
      <c r="RB37" s="85"/>
      <c r="RC37" s="85"/>
      <c r="RD37" s="85"/>
      <c r="RE37" s="85"/>
      <c r="RF37" s="85"/>
      <c r="RG37" s="85"/>
      <c r="RH37" s="85"/>
      <c r="RI37" s="85"/>
      <c r="RJ37" s="85"/>
      <c r="RK37" s="85"/>
      <c r="RL37" s="85"/>
      <c r="RM37" s="85"/>
      <c r="RN37" s="85"/>
      <c r="RO37" s="85"/>
      <c r="RP37" s="85"/>
      <c r="RQ37" s="85"/>
      <c r="RR37" s="85"/>
      <c r="RS37" s="85"/>
      <c r="RT37" s="85"/>
      <c r="RU37" s="85"/>
      <c r="RV37" s="85"/>
      <c r="RW37" s="85"/>
      <c r="RX37" s="85"/>
      <c r="RY37" s="85"/>
      <c r="RZ37" s="85"/>
      <c r="SA37" s="85"/>
      <c r="SB37" s="85"/>
      <c r="SC37" s="85"/>
      <c r="SD37" s="85"/>
      <c r="SE37" s="85"/>
      <c r="SF37" s="85"/>
      <c r="SG37" s="85"/>
      <c r="SH37" s="85"/>
      <c r="SI37" s="85"/>
      <c r="SJ37" s="85"/>
      <c r="SK37" s="85"/>
      <c r="SL37" s="85"/>
      <c r="SM37" s="85"/>
      <c r="SN37" s="85"/>
      <c r="SO37" s="85"/>
      <c r="SP37" s="85"/>
      <c r="SQ37" s="85"/>
      <c r="SR37" s="85"/>
      <c r="SS37" s="85"/>
      <c r="ST37" s="85"/>
      <c r="SU37" s="85"/>
      <c r="SV37" s="85"/>
      <c r="SW37" s="85"/>
      <c r="SX37" s="85"/>
      <c r="SY37" s="85"/>
      <c r="SZ37" s="85"/>
      <c r="TA37" s="85"/>
      <c r="TB37" s="85"/>
      <c r="TC37" s="85"/>
      <c r="TD37" s="85"/>
      <c r="TE37" s="85"/>
      <c r="TF37" s="85"/>
      <c r="TG37" s="85"/>
      <c r="TH37" s="85"/>
      <c r="TI37" s="85"/>
      <c r="TJ37" s="85"/>
      <c r="TK37" s="85"/>
      <c r="TL37" s="85"/>
      <c r="TM37" s="85"/>
      <c r="TN37" s="85"/>
      <c r="TO37" s="85"/>
      <c r="TP37" s="85"/>
      <c r="TQ37" s="85"/>
      <c r="TR37" s="85"/>
      <c r="TS37" s="85"/>
      <c r="TT37" s="85"/>
      <c r="TU37" s="85"/>
      <c r="TV37" s="85"/>
      <c r="TW37" s="85"/>
      <c r="TX37" s="85"/>
      <c r="TY37" s="85"/>
      <c r="TZ37" s="85"/>
      <c r="UA37" s="85"/>
      <c r="UB37" s="85"/>
      <c r="UC37" s="85"/>
      <c r="UD37" s="85"/>
      <c r="UE37" s="85"/>
      <c r="UF37" s="85"/>
      <c r="UG37" s="85"/>
      <c r="UH37" s="85"/>
      <c r="UI37" s="85"/>
      <c r="UJ37" s="85"/>
      <c r="UK37" s="85"/>
      <c r="UL37" s="85"/>
      <c r="UM37" s="85"/>
      <c r="UN37" s="85"/>
      <c r="UO37" s="85"/>
      <c r="UP37" s="85"/>
      <c r="UQ37" s="85"/>
      <c r="UR37" s="85"/>
      <c r="US37" s="85"/>
      <c r="UT37" s="85"/>
      <c r="UU37" s="85"/>
      <c r="UV37" s="85"/>
      <c r="UW37" s="85"/>
      <c r="UX37" s="85"/>
      <c r="UY37" s="85"/>
      <c r="UZ37" s="85"/>
      <c r="VA37" s="85"/>
      <c r="VB37" s="85"/>
      <c r="VC37" s="85"/>
      <c r="VD37" s="85"/>
      <c r="VE37" s="85"/>
      <c r="VF37" s="85"/>
      <c r="VG37" s="85"/>
      <c r="VH37" s="85"/>
      <c r="VI37" s="85"/>
      <c r="VJ37" s="85"/>
      <c r="VK37" s="85"/>
      <c r="VL37" s="85"/>
      <c r="VM37" s="85"/>
      <c r="VN37" s="85"/>
      <c r="VO37" s="85"/>
      <c r="VP37" s="85"/>
      <c r="VQ37" s="85"/>
      <c r="VR37" s="85"/>
      <c r="VS37" s="85"/>
      <c r="VT37" s="85"/>
      <c r="VU37" s="85"/>
      <c r="VV37" s="85"/>
      <c r="VW37" s="85"/>
      <c r="VX37" s="85"/>
      <c r="VY37" s="85"/>
      <c r="VZ37" s="85"/>
      <c r="WA37" s="85"/>
      <c r="WB37" s="85"/>
      <c r="WC37" s="85"/>
      <c r="WD37" s="85"/>
      <c r="WE37" s="85"/>
      <c r="WF37" s="85"/>
      <c r="WG37" s="85"/>
      <c r="WH37" s="85"/>
      <c r="WI37" s="85"/>
      <c r="WJ37" s="85"/>
      <c r="WK37" s="85"/>
      <c r="WL37" s="85"/>
      <c r="WM37" s="85"/>
      <c r="WN37" s="85"/>
      <c r="WO37" s="85"/>
      <c r="WP37" s="85"/>
      <c r="WQ37" s="85"/>
      <c r="WR37" s="85"/>
      <c r="WS37" s="85"/>
      <c r="WT37" s="85"/>
      <c r="WU37" s="85"/>
      <c r="WV37" s="85"/>
      <c r="WW37" s="85"/>
      <c r="WX37" s="85"/>
      <c r="WY37" s="85"/>
      <c r="WZ37" s="85"/>
      <c r="XA37" s="85"/>
      <c r="XB37" s="85"/>
      <c r="XC37" s="85"/>
      <c r="XD37" s="85"/>
      <c r="XE37" s="85"/>
      <c r="XF37" s="85"/>
      <c r="XG37" s="85"/>
      <c r="XH37" s="85"/>
      <c r="XI37" s="85"/>
      <c r="XJ37" s="85"/>
      <c r="XK37" s="85"/>
      <c r="XL37" s="85"/>
      <c r="XM37" s="85"/>
      <c r="XN37" s="85"/>
      <c r="XO37" s="85"/>
      <c r="XP37" s="85"/>
      <c r="XQ37" s="85"/>
      <c r="XR37" s="85"/>
      <c r="XS37" s="85"/>
      <c r="XT37" s="85"/>
      <c r="XU37" s="85"/>
      <c r="XV37" s="85"/>
      <c r="XW37" s="85"/>
      <c r="XX37" s="85"/>
      <c r="XY37" s="85"/>
      <c r="XZ37" s="85"/>
      <c r="YA37" s="85"/>
      <c r="YB37" s="85"/>
      <c r="YC37" s="85"/>
      <c r="YD37" s="85"/>
      <c r="YE37" s="85"/>
      <c r="YF37" s="85"/>
      <c r="YG37" s="85"/>
      <c r="YH37" s="85"/>
      <c r="YI37" s="85"/>
      <c r="YJ37" s="85"/>
      <c r="YK37" s="85"/>
      <c r="YL37" s="85"/>
      <c r="YM37" s="85"/>
      <c r="YN37" s="85"/>
      <c r="YO37" s="85"/>
      <c r="YP37" s="85"/>
      <c r="YQ37" s="85"/>
      <c r="YR37" s="85"/>
      <c r="YS37" s="85"/>
      <c r="YT37" s="85"/>
      <c r="YU37" s="85"/>
      <c r="YV37" s="85"/>
      <c r="YW37" s="85"/>
      <c r="YX37" s="85"/>
      <c r="YY37" s="85"/>
      <c r="YZ37" s="85"/>
      <c r="ZA37" s="85"/>
      <c r="ZB37" s="85"/>
      <c r="ZC37" s="85"/>
      <c r="ZD37" s="85"/>
      <c r="ZE37" s="85"/>
      <c r="ZF37" s="85"/>
      <c r="ZG37" s="85"/>
      <c r="ZH37" s="85"/>
      <c r="ZI37" s="85"/>
      <c r="ZJ37" s="85"/>
      <c r="ZK37" s="85"/>
      <c r="ZL37" s="85"/>
      <c r="ZM37" s="85"/>
      <c r="ZN37" s="85"/>
      <c r="ZO37" s="85"/>
      <c r="ZP37" s="85"/>
      <c r="ZQ37" s="85"/>
      <c r="ZR37" s="85"/>
      <c r="ZS37" s="85"/>
      <c r="ZT37" s="85"/>
      <c r="ZU37" s="85"/>
      <c r="ZV37" s="85"/>
      <c r="ZW37" s="85"/>
      <c r="ZX37" s="85"/>
      <c r="ZY37" s="85"/>
      <c r="ZZ37" s="85"/>
      <c r="AAA37" s="85"/>
      <c r="AAB37" s="85"/>
      <c r="AAC37" s="85"/>
      <c r="AAD37" s="85"/>
      <c r="AAE37" s="85"/>
      <c r="AAF37" s="85"/>
      <c r="AAG37" s="85"/>
      <c r="AAH37" s="85"/>
      <c r="AAI37" s="85"/>
      <c r="AAJ37" s="85"/>
      <c r="AAK37" s="85"/>
      <c r="AAL37" s="85"/>
      <c r="AAM37" s="85"/>
      <c r="AAN37" s="85"/>
      <c r="AAO37" s="85"/>
      <c r="AAP37" s="85"/>
      <c r="AAQ37" s="85"/>
      <c r="AAR37" s="85"/>
      <c r="AAS37" s="85"/>
      <c r="AAT37" s="85"/>
      <c r="AAU37" s="85"/>
      <c r="AAV37" s="85"/>
      <c r="AAW37" s="85"/>
      <c r="AAX37" s="85"/>
      <c r="AAY37" s="85"/>
      <c r="AAZ37" s="85"/>
      <c r="ABA37" s="85"/>
      <c r="ABB37" s="85"/>
      <c r="ABC37" s="85"/>
      <c r="ABD37" s="85"/>
      <c r="ABE37" s="85"/>
      <c r="ABF37" s="85"/>
      <c r="ABG37" s="85"/>
      <c r="ABH37" s="85"/>
      <c r="ABI37" s="85"/>
      <c r="ABJ37" s="85"/>
      <c r="ABK37" s="85"/>
      <c r="ABL37" s="85"/>
      <c r="ABM37" s="85"/>
      <c r="ABN37" s="85"/>
      <c r="ABO37" s="85"/>
      <c r="ABP37" s="85"/>
      <c r="ABQ37" s="85"/>
      <c r="ABR37" s="85"/>
      <c r="ABS37" s="85"/>
      <c r="ABT37" s="85"/>
      <c r="ABU37" s="85"/>
      <c r="ABV37" s="85"/>
      <c r="ABW37" s="85"/>
      <c r="ABX37" s="85"/>
      <c r="ABY37" s="85"/>
      <c r="ABZ37" s="85"/>
      <c r="ACA37" s="85"/>
      <c r="ACB37" s="85"/>
      <c r="ACC37" s="85"/>
      <c r="ACD37" s="85"/>
      <c r="ACE37" s="85"/>
      <c r="ACF37" s="85"/>
      <c r="ACG37" s="85"/>
      <c r="ACH37" s="85"/>
      <c r="ACI37" s="85"/>
      <c r="ACJ37" s="85"/>
      <c r="ACK37" s="85"/>
      <c r="ACL37" s="85"/>
      <c r="ACM37" s="85"/>
      <c r="ACN37" s="85"/>
      <c r="ACO37" s="85"/>
      <c r="ACP37" s="85"/>
      <c r="ACQ37" s="85"/>
      <c r="ACR37" s="85"/>
      <c r="ACS37" s="85"/>
      <c r="ACT37" s="85"/>
      <c r="ACU37" s="85"/>
      <c r="ACV37" s="85"/>
      <c r="ACW37" s="85"/>
      <c r="ACX37" s="85"/>
      <c r="ACY37" s="85"/>
      <c r="ACZ37" s="85"/>
      <c r="ADA37" s="85"/>
      <c r="ADB37" s="85"/>
      <c r="ADC37" s="85"/>
      <c r="ADD37" s="85"/>
      <c r="ADE37" s="85"/>
      <c r="ADF37" s="85"/>
      <c r="ADG37" s="85"/>
      <c r="ADH37" s="85"/>
      <c r="ADI37" s="85"/>
      <c r="ADJ37" s="85"/>
      <c r="ADK37" s="85"/>
      <c r="ADL37" s="85"/>
      <c r="ADM37" s="85"/>
      <c r="ADN37" s="85"/>
      <c r="ADO37" s="85"/>
      <c r="ADP37" s="85"/>
      <c r="ADQ37" s="85"/>
      <c r="ADR37" s="85"/>
      <c r="ADS37" s="85"/>
      <c r="ADT37" s="85"/>
      <c r="ADU37" s="85"/>
      <c r="ADV37" s="85"/>
      <c r="ADW37" s="85"/>
      <c r="ADX37" s="85"/>
      <c r="ADY37" s="85"/>
      <c r="ADZ37" s="85"/>
      <c r="AEA37" s="85"/>
      <c r="AEB37" s="85"/>
      <c r="AEC37" s="85"/>
      <c r="AED37" s="85"/>
      <c r="AEE37" s="85"/>
      <c r="AEF37" s="85"/>
      <c r="AEG37" s="85"/>
      <c r="AEH37" s="85"/>
      <c r="AEI37" s="85"/>
      <c r="AEJ37" s="85"/>
      <c r="AEK37" s="85"/>
      <c r="AEL37" s="85"/>
      <c r="AEM37" s="85"/>
      <c r="AEN37" s="85"/>
      <c r="AEO37" s="85"/>
      <c r="AEP37" s="85"/>
      <c r="AEQ37" s="85"/>
      <c r="AER37" s="85"/>
      <c r="AES37" s="85"/>
      <c r="AET37" s="85"/>
      <c r="AEU37" s="85"/>
      <c r="AEV37" s="85"/>
      <c r="AEW37" s="85"/>
      <c r="AEX37" s="85"/>
      <c r="AEY37" s="85"/>
      <c r="AEZ37" s="85"/>
      <c r="AFA37" s="85"/>
      <c r="AFB37" s="85"/>
      <c r="AFC37" s="85"/>
      <c r="AFD37" s="85"/>
      <c r="AFE37" s="85"/>
      <c r="AFF37" s="85"/>
      <c r="AFG37" s="85"/>
      <c r="AFH37" s="85"/>
      <c r="AFI37" s="85"/>
      <c r="AFJ37" s="85"/>
      <c r="AFK37" s="85"/>
      <c r="AFL37" s="85"/>
      <c r="AFM37" s="85"/>
      <c r="AFN37" s="85"/>
      <c r="AFO37" s="85"/>
      <c r="AFP37" s="85"/>
      <c r="AFQ37" s="85"/>
      <c r="AFR37" s="85"/>
      <c r="AFS37" s="85"/>
      <c r="AFT37" s="85"/>
      <c r="AFU37" s="85"/>
      <c r="AFV37" s="85"/>
      <c r="AFW37" s="85"/>
      <c r="AFX37" s="85"/>
      <c r="AFY37" s="85"/>
      <c r="AFZ37" s="85"/>
      <c r="AGA37" s="85"/>
      <c r="AGB37" s="85"/>
      <c r="AGC37" s="85"/>
      <c r="AGD37" s="85"/>
      <c r="AGE37" s="85"/>
      <c r="AGF37" s="85"/>
      <c r="AGG37" s="85"/>
      <c r="AGH37" s="85"/>
      <c r="AGI37" s="85"/>
      <c r="AGJ37" s="85"/>
      <c r="AGK37" s="85"/>
      <c r="AGL37" s="85"/>
      <c r="AGM37" s="85"/>
      <c r="AGN37" s="85"/>
      <c r="AGO37" s="85"/>
      <c r="AGP37" s="85"/>
      <c r="AGQ37" s="85"/>
      <c r="AGR37" s="85"/>
      <c r="AGS37" s="85"/>
      <c r="AGT37" s="85"/>
      <c r="AGU37" s="85"/>
      <c r="AGV37" s="85"/>
      <c r="AGW37" s="85"/>
      <c r="AGX37" s="85"/>
      <c r="AGY37" s="85"/>
      <c r="AGZ37" s="85"/>
      <c r="AHA37" s="85"/>
      <c r="AHB37" s="85"/>
      <c r="AHC37" s="85"/>
      <c r="AHD37" s="85"/>
      <c r="AHE37" s="85"/>
      <c r="AHF37" s="85"/>
      <c r="AHG37" s="85"/>
      <c r="AHH37" s="85"/>
      <c r="AHI37" s="85"/>
      <c r="AHJ37" s="85"/>
      <c r="AHK37" s="85"/>
      <c r="AHL37" s="85"/>
      <c r="AHM37" s="85"/>
      <c r="AHN37" s="85"/>
      <c r="AHO37" s="85"/>
      <c r="AHP37" s="85"/>
      <c r="AHQ37" s="85"/>
      <c r="AHR37" s="85"/>
      <c r="AHS37" s="85"/>
      <c r="AHT37" s="85"/>
      <c r="AHU37" s="85"/>
      <c r="AHV37" s="85"/>
      <c r="AHW37" s="85"/>
      <c r="AHX37" s="85"/>
      <c r="AHY37" s="85"/>
      <c r="AHZ37" s="85"/>
      <c r="AIA37" s="85"/>
      <c r="AIB37" s="85"/>
      <c r="AIC37" s="85"/>
      <c r="AID37" s="85"/>
      <c r="AIE37" s="85"/>
      <c r="AIF37" s="85"/>
      <c r="AIG37" s="85"/>
      <c r="AIH37" s="85"/>
      <c r="AII37" s="85"/>
      <c r="AIJ37" s="85"/>
      <c r="AIK37" s="85"/>
      <c r="AIL37" s="85"/>
      <c r="AIM37" s="85"/>
      <c r="AIN37" s="85"/>
      <c r="AIO37" s="85"/>
      <c r="AIP37" s="85"/>
      <c r="AIQ37" s="85"/>
      <c r="AIR37" s="85"/>
      <c r="AIS37" s="85"/>
      <c r="AIT37" s="85"/>
      <c r="AIU37" s="85"/>
      <c r="AIV37" s="85"/>
      <c r="AIW37" s="85"/>
      <c r="AIX37" s="85"/>
      <c r="AIY37" s="85"/>
      <c r="AIZ37" s="85"/>
      <c r="AJA37" s="85"/>
      <c r="AJB37" s="85"/>
      <c r="AJC37" s="85"/>
      <c r="AJD37" s="85"/>
      <c r="AJE37" s="85"/>
      <c r="AJF37" s="85"/>
      <c r="AJG37" s="85"/>
      <c r="AJH37" s="85"/>
      <c r="AJI37" s="85"/>
      <c r="AJJ37" s="85"/>
      <c r="AJK37" s="85"/>
      <c r="AJL37" s="85"/>
      <c r="AJM37" s="85"/>
      <c r="AJN37" s="85"/>
      <c r="AJO37" s="85"/>
      <c r="AJP37" s="85"/>
      <c r="AJQ37" s="85"/>
      <c r="AJR37" s="85"/>
      <c r="AJS37" s="85"/>
      <c r="AJT37" s="85"/>
      <c r="AJU37" s="85"/>
      <c r="AJV37" s="85"/>
      <c r="AJW37" s="85"/>
      <c r="AJX37" s="85"/>
      <c r="AJY37" s="85"/>
      <c r="AJZ37" s="85"/>
      <c r="AKA37" s="85"/>
      <c r="AKB37" s="85"/>
      <c r="AKC37" s="85"/>
      <c r="AKD37" s="85"/>
      <c r="AKE37" s="85"/>
      <c r="AKF37" s="85"/>
      <c r="AKG37" s="85"/>
      <c r="AKH37" s="85"/>
      <c r="AKI37" s="85"/>
      <c r="AKJ37" s="85"/>
      <c r="AKK37" s="85"/>
      <c r="AKL37" s="85"/>
      <c r="AKM37" s="85"/>
      <c r="AKN37" s="85"/>
      <c r="AKO37" s="85"/>
      <c r="AKP37" s="85"/>
      <c r="AKQ37" s="85"/>
      <c r="AKR37" s="85"/>
      <c r="AKS37" s="85"/>
      <c r="AKT37" s="85"/>
      <c r="AKU37" s="85"/>
      <c r="AKV37" s="85"/>
      <c r="AKW37" s="85"/>
      <c r="AKX37" s="85"/>
      <c r="AKY37" s="85"/>
      <c r="AKZ37" s="85"/>
      <c r="ALA37" s="85"/>
      <c r="ALB37" s="85"/>
      <c r="ALC37" s="85"/>
      <c r="ALD37" s="85"/>
      <c r="ALE37" s="85"/>
      <c r="ALF37" s="85"/>
      <c r="ALG37" s="85"/>
      <c r="ALH37" s="85"/>
      <c r="ALI37" s="85"/>
      <c r="ALJ37" s="85"/>
      <c r="ALK37" s="85"/>
      <c r="ALL37" s="85"/>
      <c r="ALM37" s="85"/>
      <c r="ALN37" s="85"/>
      <c r="ALO37" s="85"/>
      <c r="ALP37" s="85"/>
      <c r="ALQ37" s="85"/>
      <c r="ALR37" s="85"/>
      <c r="ALS37" s="85"/>
      <c r="ALT37" s="85"/>
      <c r="ALU37" s="85"/>
      <c r="ALV37" s="85"/>
      <c r="ALW37" s="85"/>
      <c r="ALX37" s="85"/>
      <c r="ALY37" s="85"/>
      <c r="ALZ37" s="85"/>
      <c r="AMA37" s="85"/>
      <c r="AMB37" s="85"/>
      <c r="AMC37" s="85"/>
      <c r="AMD37" s="85"/>
      <c r="AME37" s="85"/>
      <c r="AMF37" s="85"/>
      <c r="AMG37" s="85"/>
      <c r="AMH37" s="85"/>
      <c r="AMI37" s="85"/>
      <c r="AMJ37" s="85"/>
      <c r="AMK37" s="85"/>
      <c r="AML37" s="85"/>
      <c r="AMM37" s="85"/>
      <c r="AMN37" s="85"/>
      <c r="AMO37" s="85"/>
      <c r="AMP37" s="85"/>
      <c r="AMQ37" s="85"/>
      <c r="AMR37" s="85"/>
      <c r="AMS37" s="85"/>
      <c r="AMT37" s="85"/>
      <c r="AMU37" s="85"/>
      <c r="AMV37" s="85"/>
      <c r="AMW37" s="85"/>
      <c r="AMX37" s="85"/>
      <c r="AMY37" s="85"/>
      <c r="AMZ37" s="85"/>
      <c r="ANA37" s="85"/>
      <c r="ANB37" s="85"/>
      <c r="ANC37" s="85"/>
      <c r="AND37" s="85"/>
      <c r="ANE37" s="85"/>
      <c r="ANF37" s="85"/>
      <c r="ANG37" s="85"/>
      <c r="ANH37" s="85"/>
      <c r="ANI37" s="85"/>
      <c r="ANJ37" s="85"/>
      <c r="ANK37" s="85"/>
      <c r="ANL37" s="85"/>
      <c r="ANM37" s="85"/>
      <c r="ANN37" s="85"/>
      <c r="ANO37" s="85"/>
      <c r="ANP37" s="85"/>
      <c r="ANQ37" s="85"/>
      <c r="ANR37" s="85"/>
      <c r="ANS37" s="85"/>
      <c r="ANT37" s="85"/>
      <c r="ANU37" s="85"/>
      <c r="ANV37" s="85"/>
      <c r="ANW37" s="85"/>
      <c r="ANX37" s="85"/>
      <c r="ANY37" s="85"/>
      <c r="ANZ37" s="85"/>
      <c r="AOA37" s="85"/>
      <c r="AOB37" s="85"/>
      <c r="AOC37" s="85"/>
      <c r="AOD37" s="85"/>
      <c r="AOE37" s="85"/>
      <c r="AOF37" s="85"/>
      <c r="AOG37" s="85"/>
      <c r="AOH37" s="85"/>
      <c r="AOI37" s="85"/>
      <c r="AOJ37" s="85"/>
      <c r="AOK37" s="85"/>
      <c r="AOL37" s="85"/>
      <c r="AOM37" s="85"/>
      <c r="AON37" s="85"/>
      <c r="AOO37" s="85"/>
      <c r="AOP37" s="85"/>
      <c r="AOQ37" s="85"/>
      <c r="AOR37" s="85"/>
      <c r="AOS37" s="85"/>
      <c r="AOT37" s="85"/>
      <c r="AOU37" s="85"/>
      <c r="AOV37" s="85"/>
      <c r="AOW37" s="85"/>
      <c r="AOX37" s="85"/>
      <c r="AOY37" s="85"/>
      <c r="AOZ37" s="85"/>
      <c r="APA37" s="85"/>
      <c r="APB37" s="85"/>
      <c r="APC37" s="85"/>
      <c r="APD37" s="85"/>
      <c r="APE37" s="85"/>
      <c r="APF37" s="85"/>
      <c r="APG37" s="85"/>
      <c r="APH37" s="85"/>
      <c r="API37" s="85"/>
      <c r="APJ37" s="85"/>
      <c r="APK37" s="85"/>
      <c r="APL37" s="85"/>
      <c r="APM37" s="85"/>
      <c r="APN37" s="85"/>
      <c r="APO37" s="85"/>
      <c r="APP37" s="85"/>
      <c r="APQ37" s="85"/>
      <c r="APR37" s="85"/>
      <c r="APS37" s="85"/>
      <c r="APT37" s="85"/>
      <c r="APU37" s="85"/>
      <c r="APV37" s="85"/>
      <c r="APW37" s="85"/>
      <c r="APX37" s="85"/>
      <c r="APY37" s="85"/>
      <c r="APZ37" s="85"/>
      <c r="AQA37" s="85"/>
      <c r="AQB37" s="85"/>
      <c r="AQC37" s="85"/>
      <c r="AQD37" s="85"/>
      <c r="AQE37" s="85"/>
      <c r="AQF37" s="85"/>
      <c r="AQG37" s="85"/>
      <c r="AQH37" s="85"/>
      <c r="AQI37" s="85"/>
      <c r="AQJ37" s="85"/>
      <c r="AQK37" s="85"/>
      <c r="AQL37" s="85"/>
      <c r="AQM37" s="85"/>
      <c r="AQN37" s="85"/>
      <c r="AQO37" s="85"/>
      <c r="AQP37" s="85"/>
      <c r="AQQ37" s="85"/>
      <c r="AQR37" s="85"/>
      <c r="AQS37" s="85"/>
      <c r="AQT37" s="85"/>
      <c r="AQU37" s="85"/>
      <c r="AQV37" s="85"/>
      <c r="AQW37" s="85"/>
      <c r="AQX37" s="85"/>
      <c r="AQY37" s="85"/>
      <c r="AQZ37" s="85"/>
      <c r="ARA37" s="85"/>
      <c r="ARB37" s="85"/>
      <c r="ARC37" s="85"/>
      <c r="ARD37" s="85"/>
      <c r="ARE37" s="85"/>
      <c r="ARF37" s="85"/>
      <c r="ARG37" s="85"/>
      <c r="ARH37" s="85"/>
      <c r="ARI37" s="85"/>
      <c r="ARJ37" s="85"/>
      <c r="ARK37" s="85"/>
      <c r="ARL37" s="85"/>
      <c r="ARM37" s="85"/>
      <c r="ARN37" s="85"/>
      <c r="ARO37" s="85"/>
      <c r="ARP37" s="85"/>
      <c r="ARQ37" s="85"/>
      <c r="ARR37" s="85"/>
      <c r="ARS37" s="85"/>
      <c r="ART37" s="85"/>
      <c r="ARU37" s="85"/>
      <c r="ARV37" s="85"/>
      <c r="ARW37" s="85"/>
      <c r="ARX37" s="85"/>
      <c r="ARY37" s="85"/>
      <c r="ARZ37" s="85"/>
      <c r="ASA37" s="85"/>
      <c r="ASB37" s="85"/>
      <c r="ASC37" s="85"/>
      <c r="ASD37" s="85"/>
      <c r="ASE37" s="85"/>
      <c r="ASF37" s="85"/>
      <c r="ASG37" s="85"/>
      <c r="ASH37" s="85"/>
      <c r="ASI37" s="85"/>
      <c r="ASJ37" s="85"/>
      <c r="ASK37" s="85"/>
      <c r="ASL37" s="85"/>
      <c r="ASM37" s="85"/>
      <c r="ASN37" s="85"/>
      <c r="ASO37" s="85"/>
      <c r="ASP37" s="85"/>
      <c r="ASQ37" s="85"/>
      <c r="ASR37" s="85"/>
      <c r="ASS37" s="85"/>
      <c r="AST37" s="85"/>
      <c r="ASU37" s="85"/>
      <c r="ASV37" s="85"/>
      <c r="ASW37" s="85"/>
      <c r="ASX37" s="85"/>
      <c r="ASY37" s="85"/>
      <c r="ASZ37" s="85"/>
      <c r="ATA37" s="85"/>
      <c r="ATB37" s="85"/>
      <c r="ATC37" s="85"/>
      <c r="ATD37" s="85"/>
      <c r="ATE37" s="85"/>
      <c r="ATF37" s="85"/>
      <c r="ATG37" s="85"/>
      <c r="ATH37" s="85"/>
      <c r="ATI37" s="85"/>
      <c r="ATJ37" s="85"/>
      <c r="ATK37" s="85"/>
      <c r="ATL37" s="85"/>
      <c r="ATM37" s="85"/>
      <c r="ATN37" s="85"/>
      <c r="ATO37" s="85"/>
      <c r="ATP37" s="85"/>
      <c r="ATQ37" s="85"/>
      <c r="ATR37" s="85"/>
      <c r="ATS37" s="85"/>
      <c r="ATT37" s="85"/>
      <c r="ATU37" s="85"/>
      <c r="ATV37" s="85"/>
      <c r="ATW37" s="85"/>
      <c r="ATX37" s="85"/>
      <c r="ATY37" s="85"/>
      <c r="ATZ37" s="85"/>
      <c r="AUA37" s="85"/>
      <c r="AUB37" s="85"/>
      <c r="AUC37" s="85"/>
      <c r="AUD37" s="85"/>
      <c r="AUE37" s="85"/>
      <c r="AUF37" s="85"/>
      <c r="AUG37" s="85"/>
      <c r="AUH37" s="85"/>
      <c r="AUI37" s="85"/>
      <c r="AUJ37" s="85"/>
      <c r="AUK37" s="85"/>
      <c r="AUL37" s="85"/>
      <c r="AUM37" s="85"/>
      <c r="AUN37" s="85"/>
      <c r="AUO37" s="85"/>
      <c r="AUP37" s="85"/>
      <c r="AUQ37" s="85"/>
      <c r="AUR37" s="85"/>
      <c r="AUS37" s="85"/>
      <c r="AUT37" s="85"/>
      <c r="AUU37" s="85"/>
      <c r="AUV37" s="85"/>
      <c r="AUW37" s="85"/>
      <c r="AUX37" s="85"/>
      <c r="AUY37" s="85"/>
      <c r="AUZ37" s="85"/>
      <c r="AVA37" s="85"/>
      <c r="AVB37" s="85"/>
      <c r="AVC37" s="85"/>
      <c r="AVD37" s="85"/>
      <c r="AVE37" s="85"/>
      <c r="AVF37" s="85"/>
      <c r="AVG37" s="85"/>
      <c r="AVH37" s="85"/>
      <c r="AVI37" s="85"/>
      <c r="AVJ37" s="85"/>
      <c r="AVK37" s="85"/>
      <c r="AVL37" s="85"/>
      <c r="AVM37" s="85"/>
      <c r="AVN37" s="85"/>
      <c r="AVO37" s="85"/>
      <c r="AVP37" s="85"/>
      <c r="AVQ37" s="85"/>
      <c r="AVR37" s="85"/>
      <c r="AVS37" s="85"/>
      <c r="AVT37" s="85"/>
      <c r="AVU37" s="85"/>
      <c r="AVV37" s="85"/>
      <c r="AVW37" s="85"/>
      <c r="AVX37" s="85"/>
      <c r="AVY37" s="85"/>
      <c r="AVZ37" s="85"/>
      <c r="AWA37" s="85"/>
      <c r="AWB37" s="85"/>
      <c r="AWC37" s="85"/>
      <c r="AWD37" s="85"/>
      <c r="AWE37" s="85"/>
      <c r="AWF37" s="85"/>
      <c r="AWG37" s="85"/>
      <c r="AWH37" s="85"/>
      <c r="AWI37" s="85"/>
      <c r="AWJ37" s="85"/>
      <c r="AWK37" s="85"/>
      <c r="AWL37" s="85"/>
      <c r="AWM37" s="85"/>
      <c r="AWN37" s="85"/>
      <c r="AWO37" s="85"/>
      <c r="AWP37" s="85"/>
      <c r="AWQ37" s="85"/>
      <c r="AWR37" s="85"/>
      <c r="AWS37" s="85"/>
      <c r="AWT37" s="85"/>
      <c r="AWU37" s="85"/>
      <c r="AWV37" s="85"/>
      <c r="AWW37" s="85"/>
      <c r="AWX37" s="85"/>
      <c r="AWY37" s="85"/>
      <c r="AWZ37" s="85"/>
      <c r="AXA37" s="85"/>
      <c r="AXB37" s="85"/>
      <c r="AXC37" s="85"/>
      <c r="AXD37" s="85"/>
      <c r="AXE37" s="85"/>
      <c r="AXF37" s="85"/>
      <c r="AXG37" s="85"/>
      <c r="AXH37" s="85"/>
      <c r="AXI37" s="85"/>
      <c r="AXJ37" s="85"/>
      <c r="AXK37" s="85"/>
      <c r="AXL37" s="85"/>
      <c r="AXM37" s="85"/>
      <c r="AXN37" s="85"/>
      <c r="AXO37" s="85"/>
      <c r="AXP37" s="85"/>
      <c r="AXQ37" s="85"/>
      <c r="AXR37" s="85"/>
      <c r="AXS37" s="85"/>
      <c r="AXT37" s="85"/>
      <c r="AXU37" s="85"/>
      <c r="AXV37" s="85"/>
      <c r="AXW37" s="85"/>
      <c r="AXX37" s="85"/>
      <c r="AXY37" s="85"/>
      <c r="AXZ37" s="85"/>
      <c r="AYA37" s="85"/>
      <c r="AYB37" s="85"/>
      <c r="AYC37" s="85"/>
      <c r="AYD37" s="85"/>
      <c r="AYE37" s="85"/>
      <c r="AYF37" s="85"/>
      <c r="AYG37" s="85"/>
      <c r="AYH37" s="85"/>
      <c r="AYI37" s="85"/>
      <c r="AYJ37" s="85"/>
      <c r="AYK37" s="85"/>
      <c r="AYL37" s="85"/>
      <c r="AYM37" s="85"/>
      <c r="AYN37" s="85"/>
      <c r="AYO37" s="85"/>
      <c r="AYP37" s="85"/>
      <c r="AYQ37" s="85"/>
      <c r="AYR37" s="85"/>
      <c r="AYS37" s="85"/>
      <c r="AYT37" s="85"/>
      <c r="AYU37" s="85"/>
      <c r="AYV37" s="85"/>
      <c r="AYW37" s="85"/>
      <c r="AYX37" s="85"/>
      <c r="AYY37" s="85"/>
      <c r="AYZ37" s="85"/>
      <c r="AZA37" s="85"/>
      <c r="AZB37" s="85"/>
      <c r="AZC37" s="85"/>
      <c r="AZD37" s="85"/>
      <c r="AZE37" s="85"/>
      <c r="AZF37" s="85"/>
      <c r="AZG37" s="85"/>
      <c r="AZH37" s="85"/>
      <c r="AZI37" s="85"/>
      <c r="AZJ37" s="85"/>
      <c r="AZK37" s="85"/>
      <c r="AZL37" s="85"/>
      <c r="AZM37" s="85"/>
      <c r="AZN37" s="85"/>
      <c r="AZO37" s="85"/>
      <c r="AZP37" s="85"/>
      <c r="AZQ37" s="85"/>
      <c r="AZR37" s="85"/>
      <c r="AZS37" s="85"/>
      <c r="AZT37" s="85"/>
      <c r="AZU37" s="85"/>
      <c r="AZV37" s="85"/>
      <c r="AZW37" s="85"/>
      <c r="AZX37" s="85"/>
      <c r="AZY37" s="85"/>
      <c r="AZZ37" s="85"/>
      <c r="BAA37" s="85"/>
      <c r="BAB37" s="85"/>
      <c r="BAC37" s="85"/>
      <c r="BAD37" s="85"/>
      <c r="BAE37" s="85"/>
      <c r="BAF37" s="85"/>
      <c r="BAG37" s="85"/>
      <c r="BAH37" s="85"/>
      <c r="BAI37" s="85"/>
      <c r="BAJ37" s="85"/>
      <c r="BAK37" s="85"/>
      <c r="BAL37" s="85"/>
      <c r="BAM37" s="85"/>
      <c r="BAN37" s="85"/>
      <c r="BAO37" s="85"/>
      <c r="BAP37" s="85"/>
      <c r="BAQ37" s="85"/>
      <c r="BAR37" s="85"/>
      <c r="BAS37" s="85"/>
      <c r="BAT37" s="85"/>
      <c r="BAU37" s="85"/>
      <c r="BAV37" s="85"/>
      <c r="BAW37" s="85"/>
      <c r="BAX37" s="85"/>
      <c r="BAY37" s="85"/>
      <c r="BAZ37" s="85"/>
      <c r="BBA37" s="85"/>
      <c r="BBB37" s="85"/>
      <c r="BBC37" s="85"/>
      <c r="BBD37" s="85"/>
      <c r="BBE37" s="85"/>
      <c r="BBF37" s="85"/>
      <c r="BBG37" s="85"/>
      <c r="BBH37" s="85"/>
      <c r="BBI37" s="85"/>
      <c r="BBJ37" s="85"/>
      <c r="BBK37" s="85"/>
      <c r="BBL37" s="85"/>
      <c r="BBM37" s="85"/>
      <c r="BBN37" s="85"/>
      <c r="BBO37" s="85"/>
      <c r="BBP37" s="85"/>
      <c r="BBQ37" s="85"/>
      <c r="BBR37" s="85"/>
      <c r="BBS37" s="85"/>
      <c r="BBT37" s="85"/>
      <c r="BBU37" s="85"/>
      <c r="BBV37" s="85"/>
      <c r="BBW37" s="85"/>
      <c r="BBX37" s="85"/>
      <c r="BBY37" s="85"/>
      <c r="BBZ37" s="85"/>
      <c r="BCA37" s="85"/>
      <c r="BCB37" s="85"/>
      <c r="BCC37" s="85"/>
      <c r="BCD37" s="85"/>
      <c r="BCE37" s="85"/>
      <c r="BCF37" s="85"/>
      <c r="BCG37" s="85"/>
      <c r="BCH37" s="85"/>
      <c r="BCI37" s="85"/>
      <c r="BCJ37" s="85"/>
      <c r="BCK37" s="85"/>
      <c r="BCL37" s="85"/>
      <c r="BCM37" s="85"/>
      <c r="BCN37" s="85"/>
      <c r="BCO37" s="85"/>
      <c r="BCP37" s="85"/>
      <c r="BCQ37" s="85"/>
      <c r="BCR37" s="85"/>
      <c r="BCS37" s="85"/>
      <c r="BCT37" s="85"/>
      <c r="BCU37" s="85"/>
      <c r="BCV37" s="85"/>
      <c r="BCW37" s="85"/>
      <c r="BCX37" s="85"/>
      <c r="BCY37" s="85"/>
      <c r="BCZ37" s="85"/>
      <c r="BDA37" s="85"/>
      <c r="BDB37" s="85"/>
      <c r="BDC37" s="85"/>
      <c r="BDD37" s="85"/>
      <c r="BDE37" s="85"/>
      <c r="BDF37" s="85"/>
      <c r="BDG37" s="85"/>
      <c r="BDH37" s="85"/>
      <c r="BDI37" s="85"/>
      <c r="BDJ37" s="85"/>
      <c r="BDK37" s="85"/>
      <c r="BDL37" s="85"/>
      <c r="BDM37" s="85"/>
      <c r="BDN37" s="85"/>
      <c r="BDO37" s="85"/>
      <c r="BDP37" s="85"/>
      <c r="BDQ37" s="85"/>
      <c r="BDR37" s="85"/>
      <c r="BDS37" s="85"/>
      <c r="BDT37" s="85"/>
      <c r="BDU37" s="85"/>
      <c r="BDV37" s="85"/>
      <c r="BDW37" s="85"/>
      <c r="BDX37" s="85"/>
      <c r="BDY37" s="85"/>
      <c r="BDZ37" s="85"/>
      <c r="BEA37" s="85"/>
      <c r="BEB37" s="85"/>
      <c r="BEC37" s="85"/>
      <c r="BED37" s="85"/>
      <c r="BEE37" s="85"/>
      <c r="BEF37" s="85"/>
      <c r="BEG37" s="85"/>
      <c r="BEH37" s="85"/>
      <c r="BEI37" s="85"/>
      <c r="BEJ37" s="85"/>
      <c r="BEK37" s="85"/>
      <c r="BEL37" s="85"/>
      <c r="BEM37" s="85"/>
      <c r="BEN37" s="85"/>
      <c r="BEO37" s="85"/>
      <c r="BEP37" s="85"/>
      <c r="BEQ37" s="85"/>
      <c r="BER37" s="85"/>
      <c r="BES37" s="85"/>
      <c r="BET37" s="85"/>
      <c r="BEU37" s="85"/>
      <c r="BEV37" s="85"/>
      <c r="BEW37" s="85"/>
      <c r="BEX37" s="85"/>
      <c r="BEY37" s="85"/>
      <c r="BEZ37" s="85"/>
      <c r="BFA37" s="85"/>
      <c r="BFB37" s="85"/>
      <c r="BFC37" s="85"/>
      <c r="BFD37" s="85"/>
      <c r="BFE37" s="85"/>
      <c r="BFF37" s="85"/>
      <c r="BFG37" s="85"/>
      <c r="BFH37" s="85"/>
      <c r="BFI37" s="85"/>
      <c r="BFJ37" s="85"/>
      <c r="BFK37" s="85"/>
      <c r="BFL37" s="85"/>
      <c r="BFM37" s="85"/>
      <c r="BFN37" s="85"/>
      <c r="BFO37" s="85"/>
      <c r="BFP37" s="85"/>
      <c r="BFQ37" s="85"/>
      <c r="BFR37" s="85"/>
      <c r="BFS37" s="85"/>
      <c r="BFT37" s="85"/>
      <c r="BFU37" s="85"/>
      <c r="BFV37" s="85"/>
      <c r="BFW37" s="85"/>
      <c r="BFX37" s="85"/>
      <c r="BFY37" s="85"/>
      <c r="BFZ37" s="85"/>
      <c r="BGA37" s="85"/>
      <c r="BGB37" s="85"/>
      <c r="BGC37" s="85"/>
      <c r="BGD37" s="85"/>
      <c r="BGE37" s="85"/>
      <c r="BGF37" s="85"/>
      <c r="BGG37" s="85"/>
      <c r="BGH37" s="85"/>
      <c r="BGI37" s="85"/>
      <c r="BGJ37" s="85"/>
      <c r="BGK37" s="85"/>
      <c r="BGL37" s="85"/>
      <c r="BGM37" s="85"/>
      <c r="BGN37" s="85"/>
      <c r="BGO37" s="85"/>
      <c r="BGP37" s="85"/>
      <c r="BGQ37" s="85"/>
      <c r="BGR37" s="85"/>
      <c r="BGS37" s="85"/>
      <c r="BGT37" s="85"/>
      <c r="BGU37" s="85"/>
      <c r="BGV37" s="85"/>
      <c r="BGW37" s="85"/>
      <c r="BGX37" s="85"/>
      <c r="BGY37" s="85"/>
      <c r="BGZ37" s="85"/>
      <c r="BHA37" s="85"/>
      <c r="BHB37" s="85"/>
      <c r="BHC37" s="85"/>
      <c r="BHD37" s="85"/>
      <c r="BHE37" s="85"/>
      <c r="BHF37" s="85"/>
      <c r="BHG37" s="85"/>
      <c r="BHH37" s="85"/>
      <c r="BHI37" s="85"/>
      <c r="BHJ37" s="85"/>
      <c r="BHK37" s="85"/>
      <c r="BHL37" s="85"/>
      <c r="BHM37" s="85"/>
      <c r="BHN37" s="85"/>
      <c r="BHO37" s="85"/>
      <c r="BHP37" s="85"/>
      <c r="BHQ37" s="85"/>
      <c r="BHR37" s="85"/>
      <c r="BHS37" s="85"/>
      <c r="BHT37" s="85"/>
      <c r="BHU37" s="85"/>
      <c r="BHV37" s="85"/>
      <c r="BHW37" s="85"/>
      <c r="BHX37" s="85"/>
      <c r="BHY37" s="85"/>
      <c r="BHZ37" s="85"/>
      <c r="BIA37" s="85"/>
      <c r="BIB37" s="85"/>
      <c r="BIC37" s="85"/>
      <c r="BID37" s="85"/>
      <c r="BIE37" s="85"/>
      <c r="BIF37" s="85"/>
      <c r="BIG37" s="85"/>
      <c r="BIH37" s="85"/>
      <c r="BII37" s="85"/>
      <c r="BIJ37" s="85"/>
      <c r="BIK37" s="85"/>
      <c r="BIL37" s="85"/>
      <c r="BIM37" s="85"/>
      <c r="BIN37" s="85"/>
      <c r="BIO37" s="85"/>
      <c r="BIP37" s="85"/>
      <c r="BIQ37" s="85"/>
      <c r="BIR37" s="85"/>
      <c r="BIS37" s="85"/>
      <c r="BIT37" s="85"/>
      <c r="BIU37" s="85"/>
      <c r="BIV37" s="85"/>
      <c r="BIW37" s="85"/>
      <c r="BIX37" s="85"/>
      <c r="BIY37" s="85"/>
      <c r="BIZ37" s="85"/>
      <c r="BJA37" s="85"/>
      <c r="BJB37" s="85"/>
      <c r="BJC37" s="85"/>
      <c r="BJD37" s="85"/>
      <c r="BJE37" s="85"/>
      <c r="BJF37" s="85"/>
      <c r="BJG37" s="85"/>
      <c r="BJH37" s="85"/>
      <c r="BJI37" s="85"/>
      <c r="BJJ37" s="85"/>
      <c r="BJK37" s="85"/>
      <c r="BJL37" s="85"/>
      <c r="BJM37" s="85"/>
      <c r="BJN37" s="85"/>
      <c r="BJO37" s="85"/>
      <c r="BJP37" s="85"/>
      <c r="BJQ37" s="85"/>
      <c r="BJR37" s="85"/>
      <c r="BJS37" s="85"/>
      <c r="BJT37" s="85"/>
      <c r="BJU37" s="85"/>
      <c r="BJV37" s="85"/>
      <c r="BJW37" s="85"/>
      <c r="BJX37" s="85"/>
      <c r="BJY37" s="85"/>
      <c r="BJZ37" s="85"/>
      <c r="BKA37" s="85"/>
      <c r="BKB37" s="85"/>
      <c r="BKC37" s="85"/>
      <c r="BKD37" s="85"/>
      <c r="BKE37" s="85"/>
      <c r="BKF37" s="85"/>
      <c r="BKG37" s="85"/>
      <c r="BKH37" s="85"/>
      <c r="BKI37" s="85"/>
      <c r="BKJ37" s="85"/>
      <c r="BKK37" s="85"/>
      <c r="BKL37" s="85"/>
      <c r="BKM37" s="85"/>
      <c r="BKN37" s="85"/>
      <c r="BKO37" s="85"/>
      <c r="BKP37" s="85"/>
      <c r="BKQ37" s="85"/>
      <c r="BKR37" s="85"/>
      <c r="BKS37" s="85"/>
      <c r="BKT37" s="85"/>
      <c r="BKU37" s="85"/>
      <c r="BKV37" s="85"/>
      <c r="BKW37" s="85"/>
      <c r="BKX37" s="85"/>
      <c r="BKY37" s="85"/>
      <c r="BKZ37" s="85"/>
      <c r="BLA37" s="85"/>
      <c r="BLB37" s="85"/>
      <c r="BLC37" s="85"/>
      <c r="BLD37" s="85"/>
      <c r="BLE37" s="85"/>
      <c r="BLF37" s="85"/>
      <c r="BLG37" s="85"/>
      <c r="BLH37" s="85"/>
      <c r="BLI37" s="85"/>
      <c r="BLJ37" s="85"/>
      <c r="BLK37" s="85"/>
      <c r="BLL37" s="85"/>
      <c r="BLM37" s="85"/>
      <c r="BLN37" s="85"/>
      <c r="BLO37" s="85"/>
      <c r="BLP37" s="85"/>
      <c r="BLQ37" s="85"/>
      <c r="BLR37" s="85"/>
      <c r="BLS37" s="85"/>
      <c r="BLT37" s="85"/>
      <c r="BLU37" s="85"/>
      <c r="BLV37" s="85"/>
      <c r="BLW37" s="85"/>
      <c r="BLX37" s="85"/>
      <c r="BLY37" s="85"/>
      <c r="BLZ37" s="85"/>
      <c r="BMA37" s="85"/>
      <c r="BMB37" s="85"/>
      <c r="BMC37" s="85"/>
      <c r="BMD37" s="85"/>
      <c r="BME37" s="85"/>
      <c r="BMF37" s="85"/>
      <c r="BMG37" s="85"/>
      <c r="BMH37" s="85"/>
      <c r="BMI37" s="85"/>
      <c r="BMJ37" s="85"/>
      <c r="BMK37" s="85"/>
      <c r="BML37" s="85"/>
      <c r="BMM37" s="85"/>
      <c r="BMN37" s="85"/>
      <c r="BMO37" s="85"/>
      <c r="BMP37" s="85"/>
      <c r="BMQ37" s="85"/>
      <c r="BMR37" s="85"/>
      <c r="BMS37" s="85"/>
      <c r="BMT37" s="85"/>
      <c r="BMU37" s="85"/>
      <c r="BMV37" s="85"/>
      <c r="BMW37" s="85"/>
      <c r="BMX37" s="85"/>
      <c r="BMY37" s="85"/>
      <c r="BMZ37" s="85"/>
      <c r="BNA37" s="85"/>
      <c r="BNB37" s="85"/>
      <c r="BNC37" s="85"/>
      <c r="BND37" s="85"/>
      <c r="BNE37" s="85"/>
      <c r="BNF37" s="85"/>
      <c r="BNG37" s="85"/>
      <c r="BNH37" s="85"/>
      <c r="BNI37" s="85"/>
      <c r="BNJ37" s="85"/>
      <c r="BNK37" s="85"/>
      <c r="BNL37" s="85"/>
      <c r="BNM37" s="85"/>
      <c r="BNN37" s="85"/>
      <c r="BNO37" s="85"/>
      <c r="BNP37" s="85"/>
      <c r="BNQ37" s="85"/>
      <c r="BNR37" s="85"/>
      <c r="BNS37" s="85"/>
      <c r="BNT37" s="85"/>
      <c r="BNU37" s="85"/>
      <c r="BNV37" s="85"/>
      <c r="BNW37" s="85"/>
      <c r="BNX37" s="85"/>
      <c r="BNY37" s="85"/>
      <c r="BNZ37" s="85"/>
      <c r="BOA37" s="85"/>
      <c r="BOB37" s="85"/>
      <c r="BOC37" s="85"/>
      <c r="BOD37" s="85"/>
      <c r="BOE37" s="85"/>
      <c r="BOF37" s="85"/>
      <c r="BOG37" s="85"/>
      <c r="BOH37" s="85"/>
      <c r="BOI37" s="85"/>
      <c r="BOJ37" s="85"/>
      <c r="BOK37" s="85"/>
      <c r="BOL37" s="85"/>
      <c r="BOM37" s="85"/>
      <c r="BON37" s="85"/>
      <c r="BOO37" s="85"/>
      <c r="BOP37" s="85"/>
      <c r="BOQ37" s="85"/>
      <c r="BOR37" s="85"/>
      <c r="BOS37" s="85"/>
      <c r="BOT37" s="85"/>
      <c r="BOU37" s="85"/>
      <c r="BOV37" s="85"/>
      <c r="BOW37" s="85"/>
      <c r="BOX37" s="85"/>
      <c r="BOY37" s="85"/>
      <c r="BOZ37" s="85"/>
      <c r="BPA37" s="85"/>
      <c r="BPB37" s="85"/>
      <c r="BPC37" s="85"/>
      <c r="BPD37" s="85"/>
      <c r="BPE37" s="85"/>
      <c r="BPF37" s="85"/>
      <c r="BPG37" s="85"/>
      <c r="BPH37" s="85"/>
      <c r="BPI37" s="85"/>
      <c r="BPJ37" s="85"/>
      <c r="BPK37" s="85"/>
      <c r="BPL37" s="85"/>
      <c r="BPM37" s="85"/>
      <c r="BPN37" s="85"/>
      <c r="BPO37" s="85"/>
      <c r="BPP37" s="85"/>
      <c r="BPQ37" s="85"/>
      <c r="BPR37" s="85"/>
      <c r="BPS37" s="85"/>
      <c r="BPT37" s="85"/>
      <c r="BPU37" s="85"/>
      <c r="BPV37" s="85"/>
      <c r="BPW37" s="85"/>
      <c r="BPX37" s="85"/>
      <c r="BPY37" s="85"/>
      <c r="BPZ37" s="85"/>
      <c r="BQA37" s="85"/>
      <c r="BQB37" s="85"/>
      <c r="BQC37" s="85"/>
      <c r="BQD37" s="85"/>
      <c r="BQE37" s="85"/>
      <c r="BQF37" s="85"/>
      <c r="BQG37" s="85"/>
      <c r="BQH37" s="85"/>
      <c r="BQI37" s="85"/>
      <c r="BQJ37" s="85"/>
      <c r="BQK37" s="85"/>
      <c r="BQL37" s="85"/>
      <c r="BQM37" s="85"/>
      <c r="BQN37" s="85"/>
      <c r="BQO37" s="85"/>
      <c r="BQP37" s="85"/>
      <c r="BQQ37" s="85"/>
      <c r="BQR37" s="85"/>
      <c r="BQS37" s="85"/>
      <c r="BQT37" s="85"/>
      <c r="BQU37" s="85"/>
      <c r="BQV37" s="85"/>
      <c r="BQW37" s="85"/>
      <c r="BQX37" s="85"/>
      <c r="BQY37" s="85"/>
      <c r="BQZ37" s="85"/>
      <c r="BRA37" s="85"/>
      <c r="BRB37" s="85"/>
      <c r="BRC37" s="85"/>
      <c r="BRD37" s="85"/>
      <c r="BRE37" s="85"/>
      <c r="BRF37" s="85"/>
      <c r="BRG37" s="85"/>
      <c r="BRH37" s="85"/>
      <c r="BRI37" s="85"/>
      <c r="BRJ37" s="85"/>
      <c r="BRK37" s="85"/>
      <c r="BRL37" s="85"/>
      <c r="BRM37" s="85"/>
      <c r="BRN37" s="85"/>
      <c r="BRO37" s="85"/>
      <c r="BRP37" s="85"/>
      <c r="BRQ37" s="85"/>
      <c r="BRR37" s="85"/>
      <c r="BRS37" s="85"/>
      <c r="BRT37" s="85"/>
      <c r="BRU37" s="85"/>
      <c r="BRV37" s="85"/>
      <c r="BRW37" s="85"/>
      <c r="BRX37" s="85"/>
      <c r="BRY37" s="85"/>
      <c r="BRZ37" s="85"/>
      <c r="BSA37" s="85"/>
      <c r="BSB37" s="85"/>
      <c r="BSC37" s="85"/>
      <c r="BSD37" s="85"/>
      <c r="BSE37" s="85"/>
      <c r="BSF37" s="85"/>
      <c r="BSG37" s="85"/>
      <c r="BSH37" s="85"/>
      <c r="BSI37" s="85"/>
      <c r="BSJ37" s="85"/>
      <c r="BSK37" s="85"/>
      <c r="BSL37" s="85"/>
      <c r="BSM37" s="85"/>
      <c r="BSN37" s="85"/>
      <c r="BSO37" s="85"/>
      <c r="BSP37" s="85"/>
      <c r="BSQ37" s="85"/>
      <c r="BSR37" s="85"/>
      <c r="BSS37" s="85"/>
      <c r="BST37" s="85"/>
      <c r="BSU37" s="85"/>
      <c r="BSV37" s="85"/>
      <c r="BSW37" s="85"/>
      <c r="BSX37" s="85"/>
      <c r="BSY37" s="85"/>
      <c r="BSZ37" s="85"/>
      <c r="BTA37" s="85"/>
      <c r="BTB37" s="85"/>
      <c r="BTC37" s="85"/>
      <c r="BTD37" s="85"/>
      <c r="BTE37" s="85"/>
      <c r="BTF37" s="85"/>
      <c r="BTG37" s="85"/>
      <c r="BTH37" s="85"/>
      <c r="BTI37" s="85"/>
      <c r="BTJ37" s="85"/>
      <c r="BTK37" s="85"/>
      <c r="BTL37" s="85"/>
      <c r="BTM37" s="85"/>
      <c r="BTN37" s="85"/>
      <c r="BTO37" s="85"/>
      <c r="BTP37" s="85"/>
      <c r="BTQ37" s="85"/>
      <c r="BTR37" s="85"/>
      <c r="BTS37" s="85"/>
      <c r="BTT37" s="85"/>
      <c r="BTU37" s="85"/>
      <c r="BTV37" s="85"/>
      <c r="BTW37" s="85"/>
      <c r="BTX37" s="85"/>
      <c r="BTY37" s="85"/>
      <c r="BTZ37" s="85"/>
      <c r="BUA37" s="85"/>
      <c r="BUB37" s="85"/>
      <c r="BUC37" s="85"/>
      <c r="BUD37" s="85"/>
      <c r="BUE37" s="85"/>
      <c r="BUF37" s="85"/>
      <c r="BUG37" s="85"/>
      <c r="BUH37" s="85"/>
      <c r="BUI37" s="85"/>
      <c r="BUJ37" s="85"/>
      <c r="BUK37" s="85"/>
      <c r="BUL37" s="85"/>
      <c r="BUM37" s="85"/>
      <c r="BUN37" s="85"/>
      <c r="BUO37" s="85"/>
      <c r="BUP37" s="85"/>
      <c r="BUQ37" s="85"/>
      <c r="BUR37" s="85"/>
      <c r="BUS37" s="85"/>
      <c r="BUT37" s="85"/>
      <c r="BUU37" s="85"/>
      <c r="BUV37" s="85"/>
      <c r="BUW37" s="85"/>
      <c r="BUX37" s="85"/>
      <c r="BUY37" s="85"/>
      <c r="BUZ37" s="85"/>
      <c r="BVA37" s="85"/>
      <c r="BVB37" s="85"/>
      <c r="BVC37" s="85"/>
      <c r="BVD37" s="85"/>
      <c r="BVE37" s="85"/>
      <c r="BVF37" s="85"/>
      <c r="BVG37" s="85"/>
      <c r="BVH37" s="85"/>
      <c r="BVI37" s="85"/>
      <c r="BVJ37" s="85"/>
      <c r="BVK37" s="85"/>
      <c r="BVL37" s="85"/>
      <c r="BVM37" s="85"/>
      <c r="BVN37" s="85"/>
      <c r="BVO37" s="85"/>
      <c r="BVP37" s="85"/>
      <c r="BVQ37" s="85"/>
      <c r="BVR37" s="85"/>
      <c r="BVS37" s="85"/>
      <c r="BVT37" s="85"/>
      <c r="BVU37" s="85"/>
      <c r="BVV37" s="85"/>
      <c r="BVW37" s="85"/>
      <c r="BVX37" s="85"/>
      <c r="BVY37" s="85"/>
      <c r="BVZ37" s="85"/>
      <c r="BWA37" s="85"/>
      <c r="BWB37" s="85"/>
      <c r="BWC37" s="85"/>
      <c r="BWD37" s="85"/>
      <c r="BWE37" s="85"/>
      <c r="BWF37" s="85"/>
      <c r="BWG37" s="85"/>
      <c r="BWH37" s="85"/>
      <c r="BWI37" s="85"/>
      <c r="BWJ37" s="85"/>
      <c r="BWK37" s="85"/>
      <c r="BWL37" s="85"/>
      <c r="BWM37" s="85"/>
      <c r="BWN37" s="85"/>
      <c r="BWO37" s="85"/>
      <c r="BWP37" s="85"/>
      <c r="BWQ37" s="85"/>
      <c r="BWR37" s="85"/>
      <c r="BWS37" s="85"/>
      <c r="BWT37" s="85"/>
      <c r="BWU37" s="85"/>
      <c r="BWV37" s="85"/>
      <c r="BWW37" s="85"/>
      <c r="BWX37" s="85"/>
      <c r="BWY37" s="85"/>
      <c r="BWZ37" s="85"/>
      <c r="BXA37" s="85"/>
      <c r="BXB37" s="85"/>
      <c r="BXC37" s="85"/>
      <c r="BXD37" s="85"/>
      <c r="BXE37" s="85"/>
      <c r="BXF37" s="85"/>
      <c r="BXG37" s="85"/>
      <c r="BXH37" s="85"/>
      <c r="BXI37" s="85"/>
      <c r="BXJ37" s="85"/>
      <c r="BXK37" s="85"/>
      <c r="BXL37" s="85"/>
      <c r="BXM37" s="85"/>
      <c r="BXN37" s="85"/>
      <c r="BXO37" s="85"/>
      <c r="BXP37" s="85"/>
      <c r="BXQ37" s="85"/>
      <c r="BXR37" s="85"/>
      <c r="BXS37" s="85"/>
      <c r="BXT37" s="85"/>
      <c r="BXU37" s="85"/>
      <c r="BXV37" s="85"/>
      <c r="BXW37" s="85"/>
      <c r="BXX37" s="85"/>
      <c r="BXY37" s="85"/>
      <c r="BXZ37" s="85"/>
      <c r="BYA37" s="85"/>
      <c r="BYB37" s="85"/>
      <c r="BYC37" s="85"/>
      <c r="BYD37" s="85"/>
      <c r="BYE37" s="85"/>
      <c r="BYF37" s="85"/>
      <c r="BYG37" s="85"/>
      <c r="BYH37" s="85"/>
      <c r="BYI37" s="85"/>
      <c r="BYJ37" s="85"/>
      <c r="BYK37" s="85"/>
      <c r="BYL37" s="85"/>
      <c r="BYM37" s="85"/>
      <c r="BYN37" s="85"/>
      <c r="BYO37" s="85"/>
      <c r="BYP37" s="85"/>
      <c r="BYQ37" s="85"/>
      <c r="BYR37" s="85"/>
      <c r="BYS37" s="85"/>
      <c r="BYT37" s="85"/>
      <c r="BYU37" s="85"/>
      <c r="BYV37" s="85"/>
      <c r="BYW37" s="85"/>
      <c r="BYX37" s="85"/>
      <c r="BYY37" s="85"/>
      <c r="BYZ37" s="85"/>
      <c r="BZA37" s="85"/>
      <c r="BZB37" s="85"/>
      <c r="BZC37" s="85"/>
      <c r="BZD37" s="85"/>
      <c r="BZE37" s="85"/>
      <c r="BZF37" s="85"/>
      <c r="BZG37" s="85"/>
      <c r="BZH37" s="85"/>
      <c r="BZI37" s="85"/>
      <c r="BZJ37" s="85"/>
      <c r="BZK37" s="85"/>
      <c r="BZL37" s="85"/>
      <c r="BZM37" s="85"/>
      <c r="BZN37" s="85"/>
      <c r="BZO37" s="85"/>
      <c r="BZP37" s="85"/>
      <c r="BZQ37" s="85"/>
      <c r="BZR37" s="85"/>
      <c r="BZS37" s="85"/>
      <c r="BZT37" s="85"/>
      <c r="BZU37" s="85"/>
      <c r="BZV37" s="85"/>
      <c r="BZW37" s="85"/>
      <c r="BZX37" s="85"/>
      <c r="BZY37" s="85"/>
      <c r="BZZ37" s="85"/>
      <c r="CAA37" s="85"/>
      <c r="CAB37" s="85"/>
      <c r="CAC37" s="85"/>
      <c r="CAD37" s="85"/>
      <c r="CAE37" s="85"/>
      <c r="CAF37" s="85"/>
      <c r="CAG37" s="85"/>
      <c r="CAH37" s="85"/>
      <c r="CAI37" s="85"/>
      <c r="CAJ37" s="85"/>
      <c r="CAK37" s="85"/>
      <c r="CAL37" s="85"/>
      <c r="CAM37" s="85"/>
      <c r="CAN37" s="85"/>
      <c r="CAO37" s="85"/>
      <c r="CAP37" s="85"/>
      <c r="CAQ37" s="85"/>
      <c r="CAR37" s="85"/>
      <c r="CAS37" s="85"/>
      <c r="CAT37" s="85"/>
      <c r="CAU37" s="85"/>
      <c r="CAV37" s="85"/>
      <c r="CAW37" s="85"/>
      <c r="CAX37" s="85"/>
      <c r="CAY37" s="85"/>
      <c r="CAZ37" s="85"/>
      <c r="CBA37" s="85"/>
      <c r="CBB37" s="85"/>
      <c r="CBC37" s="85"/>
      <c r="CBD37" s="85"/>
      <c r="CBE37" s="85"/>
      <c r="CBF37" s="85"/>
      <c r="CBG37" s="85"/>
      <c r="CBH37" s="85"/>
      <c r="CBI37" s="85"/>
      <c r="CBJ37" s="85"/>
      <c r="CBK37" s="85"/>
      <c r="CBL37" s="85"/>
      <c r="CBM37" s="85"/>
      <c r="CBN37" s="85"/>
      <c r="CBO37" s="85"/>
      <c r="CBP37" s="85"/>
      <c r="CBQ37" s="85"/>
      <c r="CBR37" s="85"/>
      <c r="CBS37" s="85"/>
      <c r="CBT37" s="85"/>
      <c r="CBU37" s="85"/>
      <c r="CBV37" s="85"/>
      <c r="CBW37" s="85"/>
      <c r="CBX37" s="85"/>
      <c r="CBY37" s="85"/>
      <c r="CBZ37" s="85"/>
      <c r="CCA37" s="85"/>
      <c r="CCB37" s="85"/>
      <c r="CCC37" s="85"/>
      <c r="CCD37" s="85"/>
      <c r="CCE37" s="85"/>
      <c r="CCF37" s="85"/>
      <c r="CCG37" s="85"/>
      <c r="CCH37" s="85"/>
      <c r="CCI37" s="85"/>
      <c r="CCJ37" s="85"/>
      <c r="CCK37" s="85"/>
      <c r="CCL37" s="85"/>
      <c r="CCM37" s="85"/>
      <c r="CCN37" s="85"/>
      <c r="CCO37" s="85"/>
      <c r="CCP37" s="85"/>
      <c r="CCQ37" s="85"/>
      <c r="CCR37" s="85"/>
      <c r="CCS37" s="85"/>
      <c r="CCT37" s="85"/>
      <c r="CCU37" s="85"/>
      <c r="CCV37" s="85"/>
      <c r="CCW37" s="85"/>
      <c r="CCX37" s="85"/>
      <c r="CCY37" s="85"/>
      <c r="CCZ37" s="85"/>
      <c r="CDA37" s="85"/>
      <c r="CDB37" s="85"/>
      <c r="CDC37" s="85"/>
      <c r="CDD37" s="85"/>
      <c r="CDE37" s="85"/>
      <c r="CDF37" s="85"/>
      <c r="CDG37" s="85"/>
      <c r="CDH37" s="85"/>
      <c r="CDI37" s="85"/>
      <c r="CDJ37" s="85"/>
      <c r="CDK37" s="85"/>
      <c r="CDL37" s="85"/>
      <c r="CDM37" s="85"/>
      <c r="CDN37" s="85"/>
      <c r="CDO37" s="85"/>
      <c r="CDP37" s="85"/>
      <c r="CDQ37" s="85"/>
      <c r="CDR37" s="85"/>
      <c r="CDS37" s="85"/>
      <c r="CDT37" s="85"/>
      <c r="CDU37" s="85"/>
      <c r="CDV37" s="85"/>
      <c r="CDW37" s="85"/>
      <c r="CDX37" s="85"/>
      <c r="CDY37" s="85"/>
      <c r="CDZ37" s="85"/>
      <c r="CEA37" s="85"/>
      <c r="CEB37" s="85"/>
      <c r="CEC37" s="85"/>
      <c r="CED37" s="85"/>
      <c r="CEE37" s="85"/>
      <c r="CEF37" s="85"/>
      <c r="CEG37" s="85"/>
      <c r="CEH37" s="85"/>
      <c r="CEI37" s="85"/>
      <c r="CEJ37" s="85"/>
      <c r="CEK37" s="85"/>
      <c r="CEL37" s="85"/>
      <c r="CEM37" s="85"/>
      <c r="CEN37" s="85"/>
      <c r="CEO37" s="85"/>
      <c r="CEP37" s="85"/>
      <c r="CEQ37" s="85"/>
      <c r="CER37" s="85"/>
      <c r="CES37" s="85"/>
      <c r="CET37" s="85"/>
      <c r="CEU37" s="85"/>
      <c r="CEV37" s="85"/>
      <c r="CEW37" s="85"/>
      <c r="CEX37" s="85"/>
      <c r="CEY37" s="85"/>
      <c r="CEZ37" s="85"/>
      <c r="CFA37" s="85"/>
      <c r="CFB37" s="85"/>
      <c r="CFC37" s="85"/>
      <c r="CFD37" s="85"/>
      <c r="CFE37" s="85"/>
      <c r="CFF37" s="85"/>
      <c r="CFG37" s="85"/>
      <c r="CFH37" s="85"/>
      <c r="CFI37" s="85"/>
      <c r="CFJ37" s="85"/>
      <c r="CFK37" s="85"/>
      <c r="CFL37" s="85"/>
      <c r="CFM37" s="85"/>
      <c r="CFN37" s="85"/>
      <c r="CFO37" s="85"/>
      <c r="CFP37" s="85"/>
      <c r="CFQ37" s="85"/>
      <c r="CFR37" s="85"/>
      <c r="CFS37" s="85"/>
      <c r="CFT37" s="85"/>
      <c r="CFU37" s="85"/>
      <c r="CFV37" s="85"/>
      <c r="CFW37" s="85"/>
      <c r="CFX37" s="85"/>
      <c r="CFY37" s="85"/>
      <c r="CFZ37" s="85"/>
      <c r="CGA37" s="85"/>
      <c r="CGB37" s="85"/>
      <c r="CGC37" s="85"/>
      <c r="CGD37" s="85"/>
      <c r="CGE37" s="85"/>
      <c r="CGF37" s="85"/>
      <c r="CGG37" s="85"/>
      <c r="CGH37" s="85"/>
      <c r="CGI37" s="85"/>
      <c r="CGJ37" s="85"/>
      <c r="CGK37" s="85"/>
      <c r="CGL37" s="85"/>
      <c r="CGM37" s="85"/>
      <c r="CGN37" s="85"/>
      <c r="CGO37" s="85"/>
      <c r="CGP37" s="85"/>
      <c r="CGQ37" s="85"/>
      <c r="CGR37" s="85"/>
      <c r="CGS37" s="85"/>
      <c r="CGT37" s="85"/>
      <c r="CGU37" s="85"/>
      <c r="CGV37" s="85"/>
      <c r="CGW37" s="85"/>
      <c r="CGX37" s="85"/>
      <c r="CGY37" s="85"/>
      <c r="CGZ37" s="85"/>
      <c r="CHA37" s="85"/>
      <c r="CHB37" s="85"/>
      <c r="CHC37" s="85"/>
      <c r="CHD37" s="85"/>
      <c r="CHE37" s="85"/>
      <c r="CHF37" s="85"/>
      <c r="CHG37" s="85"/>
      <c r="CHH37" s="85"/>
      <c r="CHI37" s="85"/>
      <c r="CHJ37" s="85"/>
      <c r="CHK37" s="85"/>
      <c r="CHL37" s="85"/>
      <c r="CHM37" s="85"/>
      <c r="CHN37" s="85"/>
      <c r="CHO37" s="85"/>
      <c r="CHP37" s="85"/>
      <c r="CHQ37" s="85"/>
      <c r="CHR37" s="85"/>
      <c r="CHS37" s="85"/>
      <c r="CHT37" s="85"/>
      <c r="CHU37" s="85"/>
      <c r="CHV37" s="85"/>
      <c r="CHW37" s="85"/>
      <c r="CHX37" s="85"/>
      <c r="CHY37" s="85"/>
      <c r="CHZ37" s="85"/>
      <c r="CIA37" s="85"/>
      <c r="CIB37" s="85"/>
      <c r="CIC37" s="85"/>
      <c r="CID37" s="85"/>
      <c r="CIE37" s="85"/>
      <c r="CIF37" s="85"/>
      <c r="CIG37" s="85"/>
      <c r="CIH37" s="85"/>
      <c r="CII37" s="85"/>
      <c r="CIJ37" s="85"/>
      <c r="CIK37" s="85"/>
      <c r="CIL37" s="85"/>
      <c r="CIM37" s="85"/>
      <c r="CIN37" s="85"/>
      <c r="CIO37" s="85"/>
      <c r="CIP37" s="85"/>
      <c r="CIQ37" s="85"/>
      <c r="CIR37" s="85"/>
      <c r="CIS37" s="85"/>
      <c r="CIT37" s="85"/>
      <c r="CIU37" s="85"/>
      <c r="CIV37" s="85"/>
      <c r="CIW37" s="85"/>
      <c r="CIX37" s="85"/>
      <c r="CIY37" s="85"/>
      <c r="CIZ37" s="85"/>
      <c r="CJA37" s="85"/>
      <c r="CJB37" s="85"/>
      <c r="CJC37" s="85"/>
      <c r="CJD37" s="85"/>
      <c r="CJE37" s="85"/>
      <c r="CJF37" s="85"/>
      <c r="CJG37" s="85"/>
      <c r="CJH37" s="85"/>
      <c r="CJI37" s="85"/>
      <c r="CJJ37" s="85"/>
      <c r="CJK37" s="85"/>
      <c r="CJL37" s="85"/>
      <c r="CJM37" s="85"/>
      <c r="CJN37" s="85"/>
      <c r="CJO37" s="85"/>
      <c r="CJP37" s="85"/>
      <c r="CJQ37" s="85"/>
      <c r="CJR37" s="85"/>
      <c r="CJS37" s="85"/>
      <c r="CJT37" s="85"/>
      <c r="CJU37" s="85"/>
      <c r="CJV37" s="85"/>
      <c r="CJW37" s="85"/>
      <c r="CJX37" s="85"/>
      <c r="CJY37" s="85"/>
      <c r="CJZ37" s="85"/>
      <c r="CKA37" s="85"/>
      <c r="CKB37" s="85"/>
      <c r="CKC37" s="85"/>
      <c r="CKD37" s="85"/>
      <c r="CKE37" s="85"/>
      <c r="CKF37" s="85"/>
      <c r="CKG37" s="85"/>
      <c r="CKH37" s="85"/>
      <c r="CKI37" s="85"/>
      <c r="CKJ37" s="85"/>
      <c r="CKK37" s="85"/>
      <c r="CKL37" s="85"/>
      <c r="CKM37" s="85"/>
      <c r="CKN37" s="85"/>
      <c r="CKO37" s="85"/>
      <c r="CKP37" s="85"/>
      <c r="CKQ37" s="85"/>
      <c r="CKR37" s="85"/>
      <c r="CKS37" s="85"/>
      <c r="CKT37" s="85"/>
      <c r="CKU37" s="85"/>
      <c r="CKV37" s="85"/>
      <c r="CKW37" s="85"/>
      <c r="CKX37" s="85"/>
      <c r="CKY37" s="85"/>
      <c r="CKZ37" s="85"/>
      <c r="CLA37" s="85"/>
      <c r="CLB37" s="85"/>
      <c r="CLC37" s="85"/>
      <c r="CLD37" s="85"/>
      <c r="CLE37" s="85"/>
      <c r="CLF37" s="85"/>
      <c r="CLG37" s="85"/>
      <c r="CLH37" s="85"/>
      <c r="CLI37" s="85"/>
      <c r="CLJ37" s="85"/>
      <c r="CLK37" s="85"/>
      <c r="CLL37" s="85"/>
      <c r="CLM37" s="85"/>
      <c r="CLN37" s="85"/>
      <c r="CLO37" s="85"/>
      <c r="CLP37" s="85"/>
      <c r="CLQ37" s="85"/>
      <c r="CLR37" s="85"/>
      <c r="CLS37" s="85"/>
      <c r="CLT37" s="85"/>
      <c r="CLU37" s="85"/>
      <c r="CLV37" s="85"/>
      <c r="CLW37" s="85"/>
      <c r="CLX37" s="85"/>
      <c r="CLY37" s="85"/>
      <c r="CLZ37" s="85"/>
      <c r="CMA37" s="85"/>
      <c r="CMB37" s="85"/>
      <c r="CMC37" s="85"/>
      <c r="CMD37" s="85"/>
      <c r="CME37" s="85"/>
      <c r="CMF37" s="85"/>
      <c r="CMG37" s="85"/>
      <c r="CMH37" s="85"/>
      <c r="CMI37" s="85"/>
      <c r="CMJ37" s="85"/>
      <c r="CMK37" s="85"/>
      <c r="CML37" s="85"/>
      <c r="CMM37" s="85"/>
      <c r="CMN37" s="85"/>
      <c r="CMO37" s="85"/>
      <c r="CMP37" s="85"/>
      <c r="CMQ37" s="85"/>
      <c r="CMR37" s="85"/>
      <c r="CMS37" s="85"/>
      <c r="CMT37" s="85"/>
      <c r="CMU37" s="85"/>
      <c r="CMV37" s="85"/>
      <c r="CMW37" s="85"/>
      <c r="CMX37" s="85"/>
      <c r="CMY37" s="85"/>
      <c r="CMZ37" s="85"/>
      <c r="CNA37" s="85"/>
      <c r="CNB37" s="85"/>
      <c r="CNC37" s="85"/>
      <c r="CND37" s="85"/>
      <c r="CNE37" s="85"/>
      <c r="CNF37" s="85"/>
      <c r="CNG37" s="85"/>
      <c r="CNH37" s="85"/>
      <c r="CNI37" s="85"/>
      <c r="CNJ37" s="85"/>
      <c r="CNK37" s="85"/>
      <c r="CNL37" s="85"/>
      <c r="CNM37" s="85"/>
      <c r="CNN37" s="85"/>
      <c r="CNO37" s="85"/>
      <c r="CNP37" s="85"/>
      <c r="CNQ37" s="85"/>
      <c r="CNR37" s="85"/>
      <c r="CNS37" s="85"/>
      <c r="CNT37" s="85"/>
      <c r="CNU37" s="85"/>
      <c r="CNV37" s="85"/>
      <c r="CNW37" s="85"/>
      <c r="CNX37" s="85"/>
      <c r="CNY37" s="85"/>
      <c r="CNZ37" s="85"/>
      <c r="COA37" s="85"/>
      <c r="COB37" s="85"/>
      <c r="COC37" s="85"/>
      <c r="COD37" s="85"/>
      <c r="COE37" s="85"/>
      <c r="COF37" s="85"/>
      <c r="COG37" s="85"/>
      <c r="COH37" s="85"/>
      <c r="COI37" s="85"/>
      <c r="COJ37" s="85"/>
      <c r="COK37" s="85"/>
      <c r="COL37" s="85"/>
      <c r="COM37" s="85"/>
      <c r="CON37" s="85"/>
      <c r="COO37" s="85"/>
      <c r="COP37" s="85"/>
      <c r="COQ37" s="85"/>
      <c r="COR37" s="85"/>
      <c r="COS37" s="85"/>
      <c r="COT37" s="85"/>
      <c r="COU37" s="85"/>
      <c r="COV37" s="85"/>
      <c r="COW37" s="85"/>
      <c r="COX37" s="85"/>
      <c r="COY37" s="85"/>
      <c r="COZ37" s="85"/>
      <c r="CPA37" s="85"/>
      <c r="CPB37" s="85"/>
      <c r="CPC37" s="85"/>
      <c r="CPD37" s="85"/>
      <c r="CPE37" s="85"/>
      <c r="CPF37" s="85"/>
      <c r="CPG37" s="85"/>
      <c r="CPH37" s="85"/>
      <c r="CPI37" s="85"/>
      <c r="CPJ37" s="85"/>
      <c r="CPK37" s="85"/>
      <c r="CPL37" s="85"/>
      <c r="CPM37" s="85"/>
      <c r="CPN37" s="85"/>
      <c r="CPO37" s="85"/>
      <c r="CPP37" s="85"/>
      <c r="CPQ37" s="85"/>
      <c r="CPR37" s="85"/>
      <c r="CPS37" s="85"/>
      <c r="CPT37" s="85"/>
      <c r="CPU37" s="85"/>
      <c r="CPV37" s="85"/>
      <c r="CPW37" s="85"/>
      <c r="CPX37" s="85"/>
      <c r="CPY37" s="85"/>
      <c r="CPZ37" s="85"/>
      <c r="CQA37" s="85"/>
      <c r="CQB37" s="85"/>
      <c r="CQC37" s="85"/>
      <c r="CQD37" s="85"/>
      <c r="CQE37" s="85"/>
      <c r="CQF37" s="85"/>
      <c r="CQG37" s="85"/>
      <c r="CQH37" s="85"/>
      <c r="CQI37" s="85"/>
      <c r="CQJ37" s="85"/>
      <c r="CQK37" s="85"/>
      <c r="CQL37" s="85"/>
      <c r="CQM37" s="85"/>
      <c r="CQN37" s="85"/>
      <c r="CQO37" s="85"/>
      <c r="CQP37" s="85"/>
      <c r="CQQ37" s="85"/>
      <c r="CQR37" s="85"/>
      <c r="CQS37" s="85"/>
      <c r="CQT37" s="85"/>
      <c r="CQU37" s="85"/>
      <c r="CQV37" s="85"/>
      <c r="CQW37" s="85"/>
      <c r="CQX37" s="85"/>
      <c r="CQY37" s="85"/>
      <c r="CQZ37" s="85"/>
      <c r="CRA37" s="85"/>
      <c r="CRB37" s="85"/>
      <c r="CRC37" s="85"/>
      <c r="CRD37" s="85"/>
      <c r="CRE37" s="85"/>
      <c r="CRF37" s="85"/>
      <c r="CRG37" s="85"/>
      <c r="CRH37" s="85"/>
      <c r="CRI37" s="85"/>
      <c r="CRJ37" s="85"/>
      <c r="CRK37" s="85"/>
      <c r="CRL37" s="85"/>
      <c r="CRM37" s="85"/>
      <c r="CRN37" s="85"/>
      <c r="CRO37" s="85"/>
      <c r="CRP37" s="85"/>
      <c r="CRQ37" s="85"/>
      <c r="CRR37" s="85"/>
      <c r="CRS37" s="85"/>
      <c r="CRT37" s="85"/>
      <c r="CRU37" s="85"/>
      <c r="CRV37" s="85"/>
      <c r="CRW37" s="85"/>
      <c r="CRX37" s="85"/>
      <c r="CRY37" s="85"/>
      <c r="CRZ37" s="85"/>
      <c r="CSA37" s="85"/>
      <c r="CSB37" s="85"/>
      <c r="CSC37" s="85"/>
      <c r="CSD37" s="85"/>
      <c r="CSE37" s="85"/>
      <c r="CSF37" s="85"/>
      <c r="CSG37" s="85"/>
      <c r="CSH37" s="85"/>
      <c r="CSI37" s="85"/>
      <c r="CSJ37" s="85"/>
      <c r="CSK37" s="85"/>
      <c r="CSL37" s="85"/>
      <c r="CSM37" s="85"/>
      <c r="CSN37" s="85"/>
      <c r="CSO37" s="85"/>
      <c r="CSP37" s="85"/>
      <c r="CSQ37" s="85"/>
      <c r="CSR37" s="85"/>
      <c r="CSS37" s="85"/>
      <c r="CST37" s="85"/>
      <c r="CSU37" s="85"/>
      <c r="CSV37" s="85"/>
      <c r="CSW37" s="85"/>
      <c r="CSX37" s="85"/>
      <c r="CSY37" s="85"/>
      <c r="CSZ37" s="85"/>
      <c r="CTA37" s="85"/>
      <c r="CTB37" s="85"/>
      <c r="CTC37" s="85"/>
      <c r="CTD37" s="85"/>
      <c r="CTE37" s="85"/>
      <c r="CTF37" s="85"/>
      <c r="CTG37" s="85"/>
      <c r="CTH37" s="85"/>
      <c r="CTI37" s="85"/>
      <c r="CTJ37" s="85"/>
      <c r="CTK37" s="85"/>
      <c r="CTL37" s="85"/>
      <c r="CTM37" s="85"/>
      <c r="CTN37" s="85"/>
      <c r="CTO37" s="85"/>
      <c r="CTP37" s="85"/>
      <c r="CTQ37" s="85"/>
      <c r="CTR37" s="85"/>
      <c r="CTS37" s="85"/>
      <c r="CTT37" s="85"/>
      <c r="CTU37" s="85"/>
      <c r="CTV37" s="85"/>
      <c r="CTW37" s="85"/>
      <c r="CTX37" s="85"/>
      <c r="CTY37" s="85"/>
      <c r="CTZ37" s="85"/>
      <c r="CUA37" s="85"/>
      <c r="CUB37" s="85"/>
      <c r="CUC37" s="85"/>
      <c r="CUD37" s="85"/>
      <c r="CUE37" s="85"/>
      <c r="CUF37" s="85"/>
      <c r="CUG37" s="85"/>
      <c r="CUH37" s="85"/>
      <c r="CUI37" s="85"/>
      <c r="CUJ37" s="85"/>
      <c r="CUK37" s="85"/>
      <c r="CUL37" s="85"/>
      <c r="CUM37" s="85"/>
      <c r="CUN37" s="85"/>
      <c r="CUO37" s="85"/>
      <c r="CUP37" s="85"/>
      <c r="CUQ37" s="85"/>
      <c r="CUR37" s="85"/>
      <c r="CUS37" s="85"/>
      <c r="CUT37" s="85"/>
      <c r="CUU37" s="85"/>
      <c r="CUV37" s="85"/>
      <c r="CUW37" s="85"/>
      <c r="CUX37" s="85"/>
      <c r="CUY37" s="85"/>
      <c r="CUZ37" s="85"/>
      <c r="CVA37" s="85"/>
      <c r="CVB37" s="85"/>
      <c r="CVC37" s="85"/>
      <c r="CVD37" s="85"/>
      <c r="CVE37" s="85"/>
      <c r="CVF37" s="85"/>
      <c r="CVG37" s="85"/>
      <c r="CVH37" s="85"/>
      <c r="CVI37" s="85"/>
      <c r="CVJ37" s="85"/>
      <c r="CVK37" s="85"/>
      <c r="CVL37" s="85"/>
      <c r="CVM37" s="85"/>
      <c r="CVN37" s="85"/>
      <c r="CVO37" s="85"/>
      <c r="CVP37" s="85"/>
      <c r="CVQ37" s="85"/>
      <c r="CVR37" s="85"/>
      <c r="CVS37" s="85"/>
      <c r="CVT37" s="85"/>
      <c r="CVU37" s="85"/>
      <c r="CVV37" s="85"/>
      <c r="CVW37" s="85"/>
      <c r="CVX37" s="85"/>
      <c r="CVY37" s="85"/>
      <c r="CVZ37" s="85"/>
      <c r="CWA37" s="85"/>
      <c r="CWB37" s="85"/>
      <c r="CWC37" s="85"/>
      <c r="CWD37" s="85"/>
      <c r="CWE37" s="85"/>
      <c r="CWF37" s="85"/>
      <c r="CWG37" s="85"/>
      <c r="CWH37" s="85"/>
      <c r="CWI37" s="85"/>
      <c r="CWJ37" s="85"/>
      <c r="CWK37" s="85"/>
      <c r="CWL37" s="85"/>
      <c r="CWM37" s="85"/>
      <c r="CWN37" s="85"/>
      <c r="CWO37" s="85"/>
      <c r="CWP37" s="85"/>
      <c r="CWQ37" s="85"/>
      <c r="CWR37" s="85"/>
      <c r="CWS37" s="85"/>
      <c r="CWT37" s="85"/>
      <c r="CWU37" s="85"/>
      <c r="CWV37" s="85"/>
      <c r="CWW37" s="85"/>
      <c r="CWX37" s="85"/>
      <c r="CWY37" s="85"/>
      <c r="CWZ37" s="85"/>
      <c r="CXA37" s="85"/>
      <c r="CXB37" s="85"/>
      <c r="CXC37" s="85"/>
      <c r="CXD37" s="85"/>
      <c r="CXE37" s="85"/>
      <c r="CXF37" s="85"/>
      <c r="CXG37" s="85"/>
      <c r="CXH37" s="85"/>
      <c r="CXI37" s="85"/>
      <c r="CXJ37" s="85"/>
      <c r="CXK37" s="85"/>
      <c r="CXL37" s="85"/>
      <c r="CXM37" s="85"/>
      <c r="CXN37" s="85"/>
      <c r="CXO37" s="85"/>
      <c r="CXP37" s="85"/>
      <c r="CXQ37" s="85"/>
      <c r="CXR37" s="85"/>
      <c r="CXS37" s="85"/>
      <c r="CXT37" s="85"/>
      <c r="CXU37" s="85"/>
      <c r="CXV37" s="85"/>
      <c r="CXW37" s="85"/>
      <c r="CXX37" s="85"/>
      <c r="CXY37" s="85"/>
      <c r="CXZ37" s="85"/>
      <c r="CYA37" s="85"/>
      <c r="CYB37" s="85"/>
      <c r="CYC37" s="85"/>
      <c r="CYD37" s="85"/>
      <c r="CYE37" s="85"/>
      <c r="CYF37" s="85"/>
      <c r="CYG37" s="85"/>
      <c r="CYH37" s="85"/>
      <c r="CYI37" s="85"/>
      <c r="CYJ37" s="85"/>
      <c r="CYK37" s="85"/>
      <c r="CYL37" s="85"/>
      <c r="CYM37" s="85"/>
      <c r="CYN37" s="85"/>
      <c r="CYO37" s="85"/>
      <c r="CYP37" s="85"/>
      <c r="CYQ37" s="85"/>
      <c r="CYR37" s="85"/>
      <c r="CYS37" s="85"/>
      <c r="CYT37" s="85"/>
      <c r="CYU37" s="85"/>
      <c r="CYV37" s="85"/>
      <c r="CYW37" s="85"/>
      <c r="CYX37" s="85"/>
      <c r="CYY37" s="85"/>
      <c r="CYZ37" s="85"/>
      <c r="CZA37" s="85"/>
      <c r="CZB37" s="85"/>
      <c r="CZC37" s="85"/>
      <c r="CZD37" s="85"/>
      <c r="CZE37" s="85"/>
      <c r="CZF37" s="85"/>
      <c r="CZG37" s="85"/>
      <c r="CZH37" s="85"/>
      <c r="CZI37" s="85"/>
      <c r="CZJ37" s="85"/>
      <c r="CZK37" s="85"/>
      <c r="CZL37" s="85"/>
      <c r="CZM37" s="85"/>
      <c r="CZN37" s="85"/>
      <c r="CZO37" s="85"/>
      <c r="CZP37" s="85"/>
      <c r="CZQ37" s="85"/>
      <c r="CZR37" s="85"/>
      <c r="CZS37" s="85"/>
      <c r="CZT37" s="85"/>
      <c r="CZU37" s="85"/>
      <c r="CZV37" s="85"/>
      <c r="CZW37" s="85"/>
      <c r="CZX37" s="85"/>
      <c r="CZY37" s="85"/>
      <c r="CZZ37" s="85"/>
      <c r="DAA37" s="85"/>
      <c r="DAB37" s="85"/>
      <c r="DAC37" s="85"/>
      <c r="DAD37" s="85"/>
      <c r="DAE37" s="85"/>
      <c r="DAF37" s="85"/>
      <c r="DAG37" s="85"/>
      <c r="DAH37" s="85"/>
      <c r="DAI37" s="85"/>
      <c r="DAJ37" s="85"/>
      <c r="DAK37" s="85"/>
      <c r="DAL37" s="85"/>
      <c r="DAM37" s="85"/>
      <c r="DAN37" s="85"/>
      <c r="DAO37" s="85"/>
      <c r="DAP37" s="85"/>
      <c r="DAQ37" s="85"/>
      <c r="DAR37" s="85"/>
      <c r="DAS37" s="85"/>
      <c r="DAT37" s="85"/>
      <c r="DAU37" s="85"/>
      <c r="DAV37" s="85"/>
      <c r="DAW37" s="85"/>
      <c r="DAX37" s="85"/>
      <c r="DAY37" s="85"/>
      <c r="DAZ37" s="85"/>
      <c r="DBA37" s="85"/>
      <c r="DBB37" s="85"/>
      <c r="DBC37" s="85"/>
      <c r="DBD37" s="85"/>
      <c r="DBE37" s="85"/>
      <c r="DBF37" s="85"/>
      <c r="DBG37" s="85"/>
      <c r="DBH37" s="85"/>
      <c r="DBI37" s="85"/>
      <c r="DBJ37" s="85"/>
      <c r="DBK37" s="85"/>
      <c r="DBL37" s="85"/>
      <c r="DBM37" s="85"/>
      <c r="DBN37" s="85"/>
      <c r="DBO37" s="85"/>
      <c r="DBP37" s="85"/>
      <c r="DBQ37" s="85"/>
      <c r="DBR37" s="85"/>
      <c r="DBS37" s="85"/>
      <c r="DBT37" s="85"/>
      <c r="DBU37" s="85"/>
      <c r="DBV37" s="85"/>
      <c r="DBW37" s="85"/>
      <c r="DBX37" s="85"/>
      <c r="DBY37" s="85"/>
      <c r="DBZ37" s="85"/>
      <c r="DCA37" s="85"/>
      <c r="DCB37" s="85"/>
      <c r="DCC37" s="85"/>
      <c r="DCD37" s="85"/>
      <c r="DCE37" s="85"/>
      <c r="DCF37" s="85"/>
      <c r="DCG37" s="85"/>
      <c r="DCH37" s="85"/>
      <c r="DCI37" s="85"/>
      <c r="DCJ37" s="85"/>
      <c r="DCK37" s="85"/>
      <c r="DCL37" s="85"/>
      <c r="DCM37" s="85"/>
      <c r="DCN37" s="85"/>
      <c r="DCO37" s="85"/>
      <c r="DCP37" s="85"/>
      <c r="DCQ37" s="85"/>
      <c r="DCR37" s="85"/>
      <c r="DCS37" s="85"/>
      <c r="DCT37" s="85"/>
      <c r="DCU37" s="85"/>
      <c r="DCV37" s="85"/>
      <c r="DCW37" s="85"/>
      <c r="DCX37" s="85"/>
      <c r="DCY37" s="85"/>
      <c r="DCZ37" s="85"/>
      <c r="DDA37" s="85"/>
      <c r="DDB37" s="85"/>
      <c r="DDC37" s="85"/>
      <c r="DDD37" s="85"/>
      <c r="DDE37" s="85"/>
      <c r="DDF37" s="85"/>
      <c r="DDG37" s="85"/>
      <c r="DDH37" s="85"/>
      <c r="DDI37" s="85"/>
      <c r="DDJ37" s="85"/>
      <c r="DDK37" s="85"/>
      <c r="DDL37" s="85"/>
      <c r="DDM37" s="85"/>
      <c r="DDN37" s="85"/>
      <c r="DDO37" s="85"/>
      <c r="DDP37" s="85"/>
      <c r="DDQ37" s="85"/>
      <c r="DDR37" s="85"/>
      <c r="DDS37" s="85"/>
      <c r="DDT37" s="85"/>
      <c r="DDU37" s="85"/>
      <c r="DDV37" s="85"/>
      <c r="DDW37" s="85"/>
      <c r="DDX37" s="85"/>
      <c r="DDY37" s="85"/>
      <c r="DDZ37" s="85"/>
      <c r="DEA37" s="85"/>
      <c r="DEB37" s="85"/>
      <c r="DEC37" s="85"/>
      <c r="DED37" s="85"/>
      <c r="DEE37" s="85"/>
      <c r="DEF37" s="85"/>
      <c r="DEG37" s="85"/>
      <c r="DEH37" s="85"/>
      <c r="DEI37" s="85"/>
      <c r="DEJ37" s="85"/>
      <c r="DEK37" s="85"/>
      <c r="DEL37" s="85"/>
      <c r="DEM37" s="85"/>
      <c r="DEN37" s="85"/>
      <c r="DEO37" s="85"/>
      <c r="DEP37" s="85"/>
      <c r="DEQ37" s="85"/>
      <c r="DER37" s="85"/>
      <c r="DES37" s="85"/>
      <c r="DET37" s="85"/>
      <c r="DEU37" s="85"/>
      <c r="DEV37" s="85"/>
      <c r="DEW37" s="85"/>
      <c r="DEX37" s="85"/>
      <c r="DEY37" s="85"/>
      <c r="DEZ37" s="85"/>
      <c r="DFA37" s="85"/>
      <c r="DFB37" s="85"/>
      <c r="DFC37" s="85"/>
      <c r="DFD37" s="85"/>
      <c r="DFE37" s="85"/>
      <c r="DFF37" s="85"/>
      <c r="DFG37" s="85"/>
      <c r="DFH37" s="85"/>
      <c r="DFI37" s="85"/>
      <c r="DFJ37" s="85"/>
      <c r="DFK37" s="85"/>
      <c r="DFL37" s="85"/>
      <c r="DFM37" s="85"/>
      <c r="DFN37" s="85"/>
      <c r="DFO37" s="85"/>
      <c r="DFP37" s="85"/>
      <c r="DFQ37" s="85"/>
      <c r="DFR37" s="85"/>
      <c r="DFS37" s="85"/>
      <c r="DFT37" s="85"/>
      <c r="DFU37" s="85"/>
      <c r="DFV37" s="85"/>
      <c r="DFW37" s="85"/>
      <c r="DFX37" s="85"/>
      <c r="DFY37" s="85"/>
      <c r="DFZ37" s="85"/>
      <c r="DGA37" s="85"/>
      <c r="DGB37" s="85"/>
      <c r="DGC37" s="85"/>
      <c r="DGD37" s="85"/>
      <c r="DGE37" s="85"/>
      <c r="DGF37" s="85"/>
      <c r="DGG37" s="85"/>
      <c r="DGH37" s="85"/>
      <c r="DGI37" s="85"/>
      <c r="DGJ37" s="85"/>
      <c r="DGK37" s="85"/>
      <c r="DGL37" s="85"/>
      <c r="DGM37" s="85"/>
      <c r="DGN37" s="85"/>
      <c r="DGO37" s="85"/>
      <c r="DGP37" s="85"/>
      <c r="DGQ37" s="85"/>
      <c r="DGR37" s="85"/>
      <c r="DGS37" s="85"/>
      <c r="DGT37" s="85"/>
      <c r="DGU37" s="85"/>
      <c r="DGV37" s="85"/>
      <c r="DGW37" s="85"/>
      <c r="DGX37" s="85"/>
      <c r="DGY37" s="85"/>
      <c r="DGZ37" s="85"/>
      <c r="DHA37" s="85"/>
      <c r="DHB37" s="85"/>
      <c r="DHC37" s="85"/>
      <c r="DHD37" s="85"/>
      <c r="DHE37" s="85"/>
      <c r="DHF37" s="85"/>
      <c r="DHG37" s="85"/>
      <c r="DHH37" s="85"/>
      <c r="DHI37" s="85"/>
      <c r="DHJ37" s="85"/>
      <c r="DHK37" s="85"/>
      <c r="DHL37" s="85"/>
      <c r="DHM37" s="85"/>
      <c r="DHN37" s="85"/>
      <c r="DHO37" s="85"/>
      <c r="DHP37" s="85"/>
      <c r="DHQ37" s="85"/>
      <c r="DHR37" s="85"/>
      <c r="DHS37" s="85"/>
      <c r="DHT37" s="85"/>
      <c r="DHU37" s="85"/>
      <c r="DHV37" s="85"/>
      <c r="DHW37" s="85"/>
      <c r="DHX37" s="85"/>
      <c r="DHY37" s="85"/>
      <c r="DHZ37" s="85"/>
      <c r="DIA37" s="85"/>
      <c r="DIB37" s="85"/>
      <c r="DIC37" s="85"/>
      <c r="DID37" s="85"/>
      <c r="DIE37" s="85"/>
      <c r="DIF37" s="85"/>
      <c r="DIG37" s="85"/>
      <c r="DIH37" s="85"/>
      <c r="DII37" s="85"/>
      <c r="DIJ37" s="85"/>
      <c r="DIK37" s="85"/>
      <c r="DIL37" s="85"/>
      <c r="DIM37" s="85"/>
      <c r="DIN37" s="85"/>
      <c r="DIO37" s="85"/>
      <c r="DIP37" s="85"/>
      <c r="DIQ37" s="85"/>
      <c r="DIR37" s="85"/>
      <c r="DIS37" s="85"/>
      <c r="DIT37" s="85"/>
      <c r="DIU37" s="85"/>
      <c r="DIV37" s="85"/>
      <c r="DIW37" s="85"/>
      <c r="DIX37" s="85"/>
      <c r="DIY37" s="85"/>
      <c r="DIZ37" s="85"/>
      <c r="DJA37" s="85"/>
      <c r="DJB37" s="85"/>
      <c r="DJC37" s="85"/>
      <c r="DJD37" s="85"/>
      <c r="DJE37" s="85"/>
      <c r="DJF37" s="85"/>
      <c r="DJG37" s="85"/>
      <c r="DJH37" s="85"/>
      <c r="DJI37" s="85"/>
      <c r="DJJ37" s="85"/>
      <c r="DJK37" s="85"/>
      <c r="DJL37" s="85"/>
      <c r="DJM37" s="85"/>
      <c r="DJN37" s="85"/>
      <c r="DJO37" s="85"/>
      <c r="DJP37" s="85"/>
      <c r="DJQ37" s="85"/>
      <c r="DJR37" s="85"/>
      <c r="DJS37" s="85"/>
      <c r="DJT37" s="85"/>
      <c r="DJU37" s="85"/>
      <c r="DJV37" s="85"/>
      <c r="DJW37" s="85"/>
      <c r="DJX37" s="85"/>
      <c r="DJY37" s="85"/>
      <c r="DJZ37" s="85"/>
      <c r="DKA37" s="85"/>
      <c r="DKB37" s="85"/>
      <c r="DKC37" s="85"/>
      <c r="DKD37" s="85"/>
      <c r="DKE37" s="85"/>
      <c r="DKF37" s="85"/>
      <c r="DKG37" s="85"/>
      <c r="DKH37" s="85"/>
      <c r="DKI37" s="85"/>
      <c r="DKJ37" s="85"/>
      <c r="DKK37" s="85"/>
      <c r="DKL37" s="85"/>
      <c r="DKM37" s="85"/>
      <c r="DKN37" s="85"/>
      <c r="DKO37" s="85"/>
      <c r="DKP37" s="85"/>
      <c r="DKQ37" s="85"/>
      <c r="DKR37" s="85"/>
      <c r="DKS37" s="85"/>
      <c r="DKT37" s="85"/>
      <c r="DKU37" s="85"/>
      <c r="DKV37" s="85"/>
      <c r="DKW37" s="85"/>
      <c r="DKX37" s="85"/>
      <c r="DKY37" s="85"/>
      <c r="DKZ37" s="85"/>
      <c r="DLA37" s="85"/>
      <c r="DLB37" s="85"/>
      <c r="DLC37" s="85"/>
      <c r="DLD37" s="85"/>
      <c r="DLE37" s="85"/>
      <c r="DLF37" s="85"/>
      <c r="DLG37" s="85"/>
      <c r="DLH37" s="85"/>
      <c r="DLI37" s="85"/>
      <c r="DLJ37" s="85"/>
      <c r="DLK37" s="85"/>
      <c r="DLL37" s="85"/>
      <c r="DLM37" s="85"/>
      <c r="DLN37" s="85"/>
      <c r="DLO37" s="85"/>
      <c r="DLP37" s="85"/>
      <c r="DLQ37" s="85"/>
      <c r="DLR37" s="85"/>
      <c r="DLS37" s="85"/>
      <c r="DLT37" s="85"/>
      <c r="DLU37" s="85"/>
      <c r="DLV37" s="85"/>
      <c r="DLW37" s="85"/>
      <c r="DLX37" s="85"/>
      <c r="DLY37" s="85"/>
      <c r="DLZ37" s="85"/>
      <c r="DMA37" s="85"/>
      <c r="DMB37" s="85"/>
      <c r="DMC37" s="85"/>
      <c r="DMD37" s="85"/>
      <c r="DME37" s="85"/>
      <c r="DMF37" s="85"/>
      <c r="DMG37" s="85"/>
      <c r="DMH37" s="85"/>
      <c r="DMI37" s="85"/>
      <c r="DMJ37" s="85"/>
      <c r="DMK37" s="85"/>
      <c r="DML37" s="85"/>
      <c r="DMM37" s="85"/>
      <c r="DMN37" s="85"/>
      <c r="DMO37" s="85"/>
      <c r="DMP37" s="85"/>
      <c r="DMQ37" s="85"/>
      <c r="DMR37" s="85"/>
      <c r="DMS37" s="85"/>
      <c r="DMT37" s="85"/>
      <c r="DMU37" s="85"/>
      <c r="DMV37" s="85"/>
      <c r="DMW37" s="85"/>
      <c r="DMX37" s="85"/>
      <c r="DMY37" s="85"/>
      <c r="DMZ37" s="85"/>
      <c r="DNA37" s="85"/>
      <c r="DNB37" s="85"/>
      <c r="DNC37" s="85"/>
      <c r="DND37" s="85"/>
      <c r="DNE37" s="85"/>
      <c r="DNF37" s="85"/>
      <c r="DNG37" s="85"/>
      <c r="DNH37" s="85"/>
      <c r="DNI37" s="85"/>
      <c r="DNJ37" s="85"/>
      <c r="DNK37" s="85"/>
      <c r="DNL37" s="85"/>
      <c r="DNM37" s="85"/>
      <c r="DNN37" s="85"/>
      <c r="DNO37" s="85"/>
      <c r="DNP37" s="85"/>
      <c r="DNQ37" s="85"/>
      <c r="DNR37" s="85"/>
      <c r="DNS37" s="85"/>
      <c r="DNT37" s="85"/>
      <c r="DNU37" s="85"/>
      <c r="DNV37" s="85"/>
      <c r="DNW37" s="85"/>
      <c r="DNX37" s="85"/>
      <c r="DNY37" s="85"/>
      <c r="DNZ37" s="85"/>
      <c r="DOA37" s="85"/>
      <c r="DOB37" s="85"/>
      <c r="DOC37" s="85"/>
      <c r="DOD37" s="85"/>
      <c r="DOE37" s="85"/>
      <c r="DOF37" s="85"/>
      <c r="DOG37" s="85"/>
      <c r="DOH37" s="85"/>
      <c r="DOI37" s="85"/>
      <c r="DOJ37" s="85"/>
      <c r="DOK37" s="85"/>
      <c r="DOL37" s="85"/>
      <c r="DOM37" s="85"/>
      <c r="DON37" s="85"/>
      <c r="DOO37" s="85"/>
      <c r="DOP37" s="85"/>
      <c r="DOQ37" s="85"/>
      <c r="DOR37" s="85"/>
      <c r="DOS37" s="85"/>
      <c r="DOT37" s="85"/>
      <c r="DOU37" s="85"/>
      <c r="DOV37" s="85"/>
      <c r="DOW37" s="85"/>
      <c r="DOX37" s="85"/>
      <c r="DOY37" s="85"/>
      <c r="DOZ37" s="85"/>
      <c r="DPA37" s="85"/>
      <c r="DPB37" s="85"/>
      <c r="DPC37" s="85"/>
      <c r="DPD37" s="85"/>
      <c r="DPE37" s="85"/>
      <c r="DPF37" s="85"/>
      <c r="DPG37" s="85"/>
      <c r="DPH37" s="85"/>
      <c r="DPI37" s="85"/>
      <c r="DPJ37" s="85"/>
      <c r="DPK37" s="85"/>
      <c r="DPL37" s="85"/>
      <c r="DPM37" s="85"/>
      <c r="DPN37" s="85"/>
      <c r="DPO37" s="85"/>
      <c r="DPP37" s="85"/>
      <c r="DPQ37" s="85"/>
      <c r="DPR37" s="85"/>
      <c r="DPS37" s="85"/>
      <c r="DPT37" s="85"/>
      <c r="DPU37" s="85"/>
      <c r="DPV37" s="85"/>
      <c r="DPW37" s="85"/>
      <c r="DPX37" s="85"/>
      <c r="DPY37" s="85"/>
      <c r="DPZ37" s="85"/>
      <c r="DQA37" s="85"/>
      <c r="DQB37" s="85"/>
      <c r="DQC37" s="85"/>
      <c r="DQD37" s="85"/>
      <c r="DQE37" s="85"/>
      <c r="DQF37" s="85"/>
      <c r="DQG37" s="85"/>
      <c r="DQH37" s="85"/>
      <c r="DQI37" s="85"/>
      <c r="DQJ37" s="85"/>
      <c r="DQK37" s="85"/>
      <c r="DQL37" s="85"/>
      <c r="DQM37" s="85"/>
      <c r="DQN37" s="85"/>
      <c r="DQO37" s="85"/>
      <c r="DQP37" s="85"/>
      <c r="DQQ37" s="85"/>
      <c r="DQR37" s="85"/>
      <c r="DQS37" s="85"/>
      <c r="DQT37" s="85"/>
      <c r="DQU37" s="85"/>
      <c r="DQV37" s="85"/>
      <c r="DQW37" s="85"/>
      <c r="DQX37" s="85"/>
      <c r="DQY37" s="85"/>
      <c r="DQZ37" s="85"/>
      <c r="DRA37" s="85"/>
      <c r="DRB37" s="85"/>
      <c r="DRC37" s="85"/>
      <c r="DRD37" s="85"/>
      <c r="DRE37" s="85"/>
      <c r="DRF37" s="85"/>
      <c r="DRG37" s="85"/>
      <c r="DRH37" s="85"/>
      <c r="DRI37" s="85"/>
      <c r="DRJ37" s="85"/>
      <c r="DRK37" s="85"/>
      <c r="DRL37" s="85"/>
      <c r="DRM37" s="85"/>
      <c r="DRN37" s="85"/>
      <c r="DRO37" s="85"/>
      <c r="DRP37" s="85"/>
      <c r="DRQ37" s="85"/>
      <c r="DRR37" s="85"/>
      <c r="DRS37" s="85"/>
      <c r="DRT37" s="85"/>
      <c r="DRU37" s="85"/>
      <c r="DRV37" s="85"/>
      <c r="DRW37" s="85"/>
      <c r="DRX37" s="85"/>
      <c r="DRY37" s="85"/>
      <c r="DRZ37" s="85"/>
      <c r="DSA37" s="85"/>
      <c r="DSB37" s="85"/>
      <c r="DSC37" s="85"/>
      <c r="DSD37" s="85"/>
      <c r="DSE37" s="85"/>
      <c r="DSF37" s="85"/>
      <c r="DSG37" s="85"/>
      <c r="DSH37" s="85"/>
      <c r="DSI37" s="85"/>
      <c r="DSJ37" s="85"/>
      <c r="DSK37" s="85"/>
      <c r="DSL37" s="85"/>
      <c r="DSM37" s="85"/>
      <c r="DSN37" s="85"/>
      <c r="DSO37" s="85"/>
      <c r="DSP37" s="85"/>
      <c r="DSQ37" s="85"/>
      <c r="DSR37" s="85"/>
      <c r="DSS37" s="85"/>
      <c r="DST37" s="85"/>
      <c r="DSU37" s="85"/>
      <c r="DSV37" s="85"/>
      <c r="DSW37" s="85"/>
      <c r="DSX37" s="85"/>
      <c r="DSY37" s="85"/>
      <c r="DSZ37" s="85"/>
      <c r="DTA37" s="85"/>
      <c r="DTB37" s="85"/>
      <c r="DTC37" s="85"/>
      <c r="DTD37" s="85"/>
      <c r="DTE37" s="85"/>
      <c r="DTF37" s="85"/>
      <c r="DTG37" s="85"/>
      <c r="DTH37" s="85"/>
      <c r="DTI37" s="85"/>
      <c r="DTJ37" s="85"/>
      <c r="DTK37" s="85"/>
      <c r="DTL37" s="85"/>
      <c r="DTM37" s="85"/>
      <c r="DTN37" s="85"/>
      <c r="DTO37" s="85"/>
      <c r="DTP37" s="85"/>
      <c r="DTQ37" s="85"/>
      <c r="DTR37" s="85"/>
      <c r="DTS37" s="85"/>
      <c r="DTT37" s="85"/>
      <c r="DTU37" s="85"/>
      <c r="DTV37" s="85"/>
      <c r="DTW37" s="85"/>
      <c r="DTX37" s="85"/>
      <c r="DTY37" s="85"/>
      <c r="DTZ37" s="85"/>
      <c r="DUA37" s="85"/>
      <c r="DUB37" s="85"/>
      <c r="DUC37" s="85"/>
      <c r="DUD37" s="85"/>
      <c r="DUE37" s="85"/>
      <c r="DUF37" s="85"/>
      <c r="DUG37" s="85"/>
      <c r="DUH37" s="85"/>
      <c r="DUI37" s="85"/>
      <c r="DUJ37" s="85"/>
      <c r="DUK37" s="85"/>
      <c r="DUL37" s="85"/>
      <c r="DUM37" s="85"/>
      <c r="DUN37" s="85"/>
      <c r="DUO37" s="85"/>
      <c r="DUP37" s="85"/>
      <c r="DUQ37" s="85"/>
      <c r="DUR37" s="85"/>
      <c r="DUS37" s="85"/>
      <c r="DUT37" s="85"/>
      <c r="DUU37" s="85"/>
      <c r="DUV37" s="85"/>
      <c r="DUW37" s="85"/>
      <c r="DUX37" s="85"/>
      <c r="DUY37" s="85"/>
      <c r="DUZ37" s="85"/>
      <c r="DVA37" s="85"/>
      <c r="DVB37" s="85"/>
      <c r="DVC37" s="85"/>
      <c r="DVD37" s="85"/>
      <c r="DVE37" s="85"/>
      <c r="DVF37" s="85"/>
      <c r="DVG37" s="85"/>
      <c r="DVH37" s="85"/>
      <c r="DVI37" s="85"/>
      <c r="DVJ37" s="85"/>
      <c r="DVK37" s="85"/>
      <c r="DVL37" s="85"/>
      <c r="DVM37" s="85"/>
      <c r="DVN37" s="85"/>
      <c r="DVO37" s="85"/>
      <c r="DVP37" s="85"/>
      <c r="DVQ37" s="85"/>
      <c r="DVR37" s="85"/>
      <c r="DVS37" s="85"/>
      <c r="DVT37" s="85"/>
      <c r="DVU37" s="85"/>
      <c r="DVV37" s="85"/>
      <c r="DVW37" s="85"/>
      <c r="DVX37" s="85"/>
      <c r="DVY37" s="85"/>
      <c r="DVZ37" s="85"/>
      <c r="DWA37" s="85"/>
      <c r="DWB37" s="85"/>
      <c r="DWC37" s="85"/>
      <c r="DWD37" s="85"/>
      <c r="DWE37" s="85"/>
      <c r="DWF37" s="85"/>
      <c r="DWG37" s="85"/>
      <c r="DWH37" s="85"/>
      <c r="DWI37" s="85"/>
      <c r="DWJ37" s="85"/>
      <c r="DWK37" s="85"/>
      <c r="DWL37" s="85"/>
      <c r="DWM37" s="85"/>
      <c r="DWN37" s="85"/>
      <c r="DWO37" s="85"/>
      <c r="DWP37" s="85"/>
      <c r="DWQ37" s="85"/>
      <c r="DWR37" s="85"/>
      <c r="DWS37" s="85"/>
      <c r="DWT37" s="85"/>
      <c r="DWU37" s="85"/>
      <c r="DWV37" s="85"/>
      <c r="DWW37" s="85"/>
      <c r="DWX37" s="85"/>
      <c r="DWY37" s="85"/>
      <c r="DWZ37" s="85"/>
      <c r="DXA37" s="85"/>
      <c r="DXB37" s="85"/>
      <c r="DXC37" s="85"/>
      <c r="DXD37" s="85"/>
      <c r="DXE37" s="85"/>
      <c r="DXF37" s="85"/>
      <c r="DXG37" s="85"/>
      <c r="DXH37" s="85"/>
      <c r="DXI37" s="85"/>
      <c r="DXJ37" s="85"/>
      <c r="DXK37" s="85"/>
      <c r="DXL37" s="85"/>
      <c r="DXM37" s="85"/>
      <c r="DXN37" s="85"/>
      <c r="DXO37" s="85"/>
      <c r="DXP37" s="85"/>
      <c r="DXQ37" s="85"/>
      <c r="DXR37" s="85"/>
      <c r="DXS37" s="85"/>
      <c r="DXT37" s="85"/>
      <c r="DXU37" s="85"/>
      <c r="DXV37" s="85"/>
      <c r="DXW37" s="85"/>
      <c r="DXX37" s="85"/>
      <c r="DXY37" s="85"/>
      <c r="DXZ37" s="85"/>
      <c r="DYA37" s="85"/>
      <c r="DYB37" s="85"/>
      <c r="DYC37" s="85"/>
      <c r="DYD37" s="85"/>
      <c r="DYE37" s="85"/>
      <c r="DYF37" s="85"/>
      <c r="DYG37" s="85"/>
      <c r="DYH37" s="85"/>
      <c r="DYI37" s="85"/>
      <c r="DYJ37" s="85"/>
      <c r="DYK37" s="85"/>
      <c r="DYL37" s="85"/>
      <c r="DYM37" s="85"/>
      <c r="DYN37" s="85"/>
      <c r="DYO37" s="85"/>
      <c r="DYP37" s="85"/>
      <c r="DYQ37" s="85"/>
      <c r="DYR37" s="85"/>
      <c r="DYS37" s="85"/>
      <c r="DYT37" s="85"/>
      <c r="DYU37" s="85"/>
      <c r="DYV37" s="85"/>
      <c r="DYW37" s="85"/>
      <c r="DYX37" s="85"/>
      <c r="DYY37" s="85"/>
      <c r="DYZ37" s="85"/>
      <c r="DZA37" s="85"/>
      <c r="DZB37" s="85"/>
      <c r="DZC37" s="85"/>
      <c r="DZD37" s="85"/>
      <c r="DZE37" s="85"/>
      <c r="DZF37" s="85"/>
      <c r="DZG37" s="85"/>
      <c r="DZH37" s="85"/>
      <c r="DZI37" s="85"/>
      <c r="DZJ37" s="85"/>
      <c r="DZK37" s="85"/>
      <c r="DZL37" s="85"/>
      <c r="DZM37" s="85"/>
      <c r="DZN37" s="85"/>
      <c r="DZO37" s="85"/>
      <c r="DZP37" s="85"/>
      <c r="DZQ37" s="85"/>
      <c r="DZR37" s="85"/>
      <c r="DZS37" s="85"/>
      <c r="DZT37" s="85"/>
      <c r="DZU37" s="85"/>
      <c r="DZV37" s="85"/>
      <c r="DZW37" s="85"/>
      <c r="DZX37" s="85"/>
      <c r="DZY37" s="85"/>
      <c r="DZZ37" s="85"/>
      <c r="EAA37" s="85"/>
      <c r="EAB37" s="85"/>
      <c r="EAC37" s="85"/>
      <c r="EAD37" s="85"/>
      <c r="EAE37" s="85"/>
      <c r="EAF37" s="85"/>
      <c r="EAG37" s="85"/>
      <c r="EAH37" s="85"/>
      <c r="EAI37" s="85"/>
      <c r="EAJ37" s="85"/>
      <c r="EAK37" s="85"/>
      <c r="EAL37" s="85"/>
      <c r="EAM37" s="85"/>
      <c r="EAN37" s="85"/>
      <c r="EAO37" s="85"/>
      <c r="EAP37" s="85"/>
      <c r="EAQ37" s="85"/>
      <c r="EAR37" s="85"/>
      <c r="EAS37" s="85"/>
      <c r="EAT37" s="85"/>
      <c r="EAU37" s="85"/>
      <c r="EAV37" s="85"/>
      <c r="EAW37" s="85"/>
      <c r="EAX37" s="85"/>
      <c r="EAY37" s="85"/>
      <c r="EAZ37" s="85"/>
      <c r="EBA37" s="85"/>
      <c r="EBB37" s="85"/>
      <c r="EBC37" s="85"/>
      <c r="EBD37" s="85"/>
      <c r="EBE37" s="85"/>
      <c r="EBF37" s="85"/>
      <c r="EBG37" s="85"/>
      <c r="EBH37" s="85"/>
      <c r="EBI37" s="85"/>
      <c r="EBJ37" s="85"/>
      <c r="EBK37" s="85"/>
      <c r="EBL37" s="85"/>
      <c r="EBM37" s="85"/>
      <c r="EBN37" s="85"/>
      <c r="EBO37" s="85"/>
      <c r="EBP37" s="85"/>
      <c r="EBQ37" s="85"/>
      <c r="EBR37" s="85"/>
      <c r="EBS37" s="85"/>
      <c r="EBT37" s="85"/>
      <c r="EBU37" s="85"/>
      <c r="EBV37" s="85"/>
      <c r="EBW37" s="85"/>
      <c r="EBX37" s="85"/>
      <c r="EBY37" s="85"/>
      <c r="EBZ37" s="85"/>
      <c r="ECA37" s="85"/>
      <c r="ECB37" s="85"/>
      <c r="ECC37" s="85"/>
      <c r="ECD37" s="85"/>
      <c r="ECE37" s="85"/>
      <c r="ECF37" s="85"/>
      <c r="ECG37" s="85"/>
      <c r="ECH37" s="85"/>
      <c r="ECI37" s="85"/>
      <c r="ECJ37" s="85"/>
      <c r="ECK37" s="85"/>
      <c r="ECL37" s="85"/>
      <c r="ECM37" s="85"/>
      <c r="ECN37" s="85"/>
      <c r="ECO37" s="85"/>
      <c r="ECP37" s="85"/>
      <c r="ECQ37" s="85"/>
      <c r="ECR37" s="85"/>
      <c r="ECS37" s="85"/>
      <c r="ECT37" s="85"/>
      <c r="ECU37" s="85"/>
      <c r="ECV37" s="85"/>
      <c r="ECW37" s="85"/>
      <c r="ECX37" s="85"/>
      <c r="ECY37" s="85"/>
      <c r="ECZ37" s="85"/>
      <c r="EDA37" s="85"/>
      <c r="EDB37" s="85"/>
      <c r="EDC37" s="85"/>
      <c r="EDD37" s="85"/>
      <c r="EDE37" s="85"/>
      <c r="EDF37" s="85"/>
      <c r="EDG37" s="85"/>
      <c r="EDH37" s="85"/>
      <c r="EDI37" s="85"/>
      <c r="EDJ37" s="85"/>
      <c r="EDK37" s="85"/>
      <c r="EDL37" s="85"/>
      <c r="EDM37" s="85"/>
      <c r="EDN37" s="85"/>
      <c r="EDO37" s="85"/>
      <c r="EDP37" s="85"/>
      <c r="EDQ37" s="85"/>
      <c r="EDR37" s="85"/>
      <c r="EDS37" s="85"/>
      <c r="EDT37" s="85"/>
      <c r="EDU37" s="85"/>
      <c r="EDV37" s="85"/>
      <c r="EDW37" s="85"/>
      <c r="EDX37" s="85"/>
      <c r="EDY37" s="85"/>
      <c r="EDZ37" s="85"/>
      <c r="EEA37" s="85"/>
      <c r="EEB37" s="85"/>
      <c r="EEC37" s="85"/>
      <c r="EED37" s="85"/>
      <c r="EEE37" s="85"/>
      <c r="EEF37" s="85"/>
      <c r="EEG37" s="85"/>
      <c r="EEH37" s="85"/>
      <c r="EEI37" s="85"/>
      <c r="EEJ37" s="85"/>
      <c r="EEK37" s="85"/>
      <c r="EEL37" s="85"/>
      <c r="EEM37" s="85"/>
      <c r="EEN37" s="85"/>
      <c r="EEO37" s="85"/>
      <c r="EEP37" s="85"/>
      <c r="EEQ37" s="85"/>
      <c r="EER37" s="85"/>
      <c r="EES37" s="85"/>
      <c r="EET37" s="85"/>
      <c r="EEU37" s="85"/>
      <c r="EEV37" s="85"/>
      <c r="EEW37" s="85"/>
      <c r="EEX37" s="85"/>
      <c r="EEY37" s="85"/>
      <c r="EEZ37" s="85"/>
      <c r="EFA37" s="85"/>
      <c r="EFB37" s="85"/>
      <c r="EFC37" s="85"/>
      <c r="EFD37" s="85"/>
      <c r="EFE37" s="85"/>
      <c r="EFF37" s="85"/>
      <c r="EFG37" s="85"/>
      <c r="EFH37" s="85"/>
      <c r="EFI37" s="85"/>
      <c r="EFJ37" s="85"/>
      <c r="EFK37" s="85"/>
      <c r="EFL37" s="85"/>
      <c r="EFM37" s="85"/>
      <c r="EFN37" s="85"/>
      <c r="EFO37" s="85"/>
      <c r="EFP37" s="85"/>
      <c r="EFQ37" s="85"/>
      <c r="EFR37" s="85"/>
      <c r="EFS37" s="85"/>
      <c r="EFT37" s="85"/>
      <c r="EFU37" s="85"/>
      <c r="EFV37" s="85"/>
      <c r="EFW37" s="85"/>
      <c r="EFX37" s="85"/>
      <c r="EFY37" s="85"/>
      <c r="EFZ37" s="85"/>
      <c r="EGA37" s="85"/>
      <c r="EGB37" s="85"/>
      <c r="EGC37" s="85"/>
      <c r="EGD37" s="85"/>
      <c r="EGE37" s="85"/>
      <c r="EGF37" s="85"/>
      <c r="EGG37" s="85"/>
      <c r="EGH37" s="85"/>
      <c r="EGI37" s="85"/>
      <c r="EGJ37" s="85"/>
      <c r="EGK37" s="85"/>
      <c r="EGL37" s="85"/>
      <c r="EGM37" s="85"/>
      <c r="EGN37" s="85"/>
      <c r="EGO37" s="85"/>
      <c r="EGP37" s="85"/>
      <c r="EGQ37" s="85"/>
      <c r="EGR37" s="85"/>
      <c r="EGS37" s="85"/>
      <c r="EGT37" s="85"/>
      <c r="EGU37" s="85"/>
      <c r="EGV37" s="85"/>
      <c r="EGW37" s="85"/>
      <c r="EGX37" s="85"/>
      <c r="EGY37" s="85"/>
      <c r="EGZ37" s="85"/>
      <c r="EHA37" s="85"/>
      <c r="EHB37" s="85"/>
      <c r="EHC37" s="85"/>
      <c r="EHD37" s="85"/>
      <c r="EHE37" s="85"/>
      <c r="EHF37" s="85"/>
      <c r="EHG37" s="85"/>
      <c r="EHH37" s="85"/>
      <c r="EHI37" s="85"/>
      <c r="EHJ37" s="85"/>
      <c r="EHK37" s="85"/>
      <c r="EHL37" s="85"/>
      <c r="EHM37" s="85"/>
      <c r="EHN37" s="85"/>
      <c r="EHO37" s="85"/>
      <c r="EHP37" s="85"/>
      <c r="EHQ37" s="85"/>
      <c r="EHR37" s="85"/>
      <c r="EHS37" s="85"/>
      <c r="EHT37" s="85"/>
      <c r="EHU37" s="85"/>
      <c r="EHV37" s="85"/>
      <c r="EHW37" s="85"/>
      <c r="EHX37" s="85"/>
      <c r="EHY37" s="85"/>
      <c r="EHZ37" s="85"/>
      <c r="EIA37" s="85"/>
      <c r="EIB37" s="85"/>
      <c r="EIC37" s="85"/>
      <c r="EID37" s="85"/>
      <c r="EIE37" s="85"/>
      <c r="EIF37" s="85"/>
      <c r="EIG37" s="85"/>
      <c r="EIH37" s="85"/>
      <c r="EII37" s="85"/>
      <c r="EIJ37" s="85"/>
      <c r="EIK37" s="85"/>
      <c r="EIL37" s="85"/>
      <c r="EIM37" s="85"/>
      <c r="EIN37" s="85"/>
      <c r="EIO37" s="85"/>
      <c r="EIP37" s="85"/>
      <c r="EIQ37" s="85"/>
      <c r="EIR37" s="85"/>
      <c r="EIS37" s="85"/>
      <c r="EIT37" s="85"/>
      <c r="EIU37" s="85"/>
      <c r="EIV37" s="85"/>
      <c r="EIW37" s="85"/>
      <c r="EIX37" s="85"/>
      <c r="EIY37" s="85"/>
      <c r="EIZ37" s="85"/>
      <c r="EJA37" s="85"/>
      <c r="EJB37" s="85"/>
      <c r="EJC37" s="85"/>
      <c r="EJD37" s="85"/>
      <c r="EJE37" s="85"/>
      <c r="EJF37" s="85"/>
      <c r="EJG37" s="85"/>
      <c r="EJH37" s="85"/>
      <c r="EJI37" s="85"/>
      <c r="EJJ37" s="85"/>
      <c r="EJK37" s="85"/>
      <c r="EJL37" s="85"/>
      <c r="EJM37" s="85"/>
      <c r="EJN37" s="85"/>
      <c r="EJO37" s="85"/>
      <c r="EJP37" s="85"/>
      <c r="EJQ37" s="85"/>
      <c r="EJR37" s="85"/>
      <c r="EJS37" s="85"/>
      <c r="EJT37" s="85"/>
      <c r="EJU37" s="85"/>
      <c r="EJV37" s="85"/>
      <c r="EJW37" s="85"/>
      <c r="EJX37" s="85"/>
      <c r="EJY37" s="85"/>
      <c r="EJZ37" s="85"/>
      <c r="EKA37" s="85"/>
      <c r="EKB37" s="85"/>
      <c r="EKC37" s="85"/>
      <c r="EKD37" s="85"/>
      <c r="EKE37" s="85"/>
      <c r="EKF37" s="85"/>
      <c r="EKG37" s="85"/>
      <c r="EKH37" s="85"/>
      <c r="EKI37" s="85"/>
      <c r="EKJ37" s="85"/>
      <c r="EKK37" s="85"/>
      <c r="EKL37" s="85"/>
      <c r="EKM37" s="85"/>
      <c r="EKN37" s="85"/>
      <c r="EKO37" s="85"/>
      <c r="EKP37" s="85"/>
      <c r="EKQ37" s="85"/>
      <c r="EKR37" s="85"/>
      <c r="EKS37" s="85"/>
      <c r="EKT37" s="85"/>
      <c r="EKU37" s="85"/>
      <c r="EKV37" s="85"/>
      <c r="EKW37" s="85"/>
      <c r="EKX37" s="85"/>
      <c r="EKY37" s="85"/>
      <c r="EKZ37" s="85"/>
      <c r="ELA37" s="85"/>
      <c r="ELB37" s="85"/>
      <c r="ELC37" s="85"/>
      <c r="ELD37" s="85"/>
      <c r="ELE37" s="85"/>
      <c r="ELF37" s="85"/>
      <c r="ELG37" s="85"/>
      <c r="ELH37" s="85"/>
      <c r="ELI37" s="85"/>
      <c r="ELJ37" s="85"/>
      <c r="ELK37" s="85"/>
      <c r="ELL37" s="85"/>
      <c r="ELM37" s="85"/>
      <c r="ELN37" s="85"/>
      <c r="ELO37" s="85"/>
      <c r="ELP37" s="85"/>
      <c r="ELQ37" s="85"/>
      <c r="ELR37" s="85"/>
      <c r="ELS37" s="85"/>
      <c r="ELT37" s="85"/>
      <c r="ELU37" s="85"/>
      <c r="ELV37" s="85"/>
      <c r="ELW37" s="85"/>
      <c r="ELX37" s="85"/>
      <c r="ELY37" s="85"/>
      <c r="ELZ37" s="85"/>
      <c r="EMA37" s="85"/>
      <c r="EMB37" s="85"/>
      <c r="EMC37" s="85"/>
      <c r="EMD37" s="85"/>
      <c r="EME37" s="85"/>
      <c r="EMF37" s="85"/>
      <c r="EMG37" s="85"/>
      <c r="EMH37" s="85"/>
      <c r="EMI37" s="85"/>
      <c r="EMJ37" s="85"/>
      <c r="EMK37" s="85"/>
      <c r="EML37" s="85"/>
      <c r="EMM37" s="85"/>
      <c r="EMN37" s="85"/>
      <c r="EMO37" s="85"/>
      <c r="EMP37" s="85"/>
      <c r="EMQ37" s="85"/>
      <c r="EMR37" s="85"/>
      <c r="EMS37" s="85"/>
      <c r="EMT37" s="85"/>
      <c r="EMU37" s="85"/>
      <c r="EMV37" s="85"/>
      <c r="EMW37" s="85"/>
      <c r="EMX37" s="85"/>
      <c r="EMY37" s="85"/>
      <c r="EMZ37" s="85"/>
      <c r="ENA37" s="85"/>
      <c r="ENB37" s="85"/>
      <c r="ENC37" s="85"/>
      <c r="END37" s="85"/>
      <c r="ENE37" s="85"/>
      <c r="ENF37" s="85"/>
      <c r="ENG37" s="85"/>
      <c r="ENH37" s="85"/>
      <c r="ENI37" s="85"/>
      <c r="ENJ37" s="85"/>
      <c r="ENK37" s="85"/>
      <c r="ENL37" s="85"/>
      <c r="ENM37" s="85"/>
      <c r="ENN37" s="85"/>
      <c r="ENO37" s="85"/>
      <c r="ENP37" s="85"/>
      <c r="ENQ37" s="85"/>
      <c r="ENR37" s="85"/>
      <c r="ENS37" s="85"/>
      <c r="ENT37" s="85"/>
      <c r="ENU37" s="85"/>
      <c r="ENV37" s="85"/>
      <c r="ENW37" s="85"/>
      <c r="ENX37" s="85"/>
      <c r="ENY37" s="85"/>
      <c r="ENZ37" s="85"/>
      <c r="EOA37" s="85"/>
      <c r="EOB37" s="85"/>
      <c r="EOC37" s="85"/>
      <c r="EOD37" s="85"/>
      <c r="EOE37" s="85"/>
      <c r="EOF37" s="85"/>
      <c r="EOG37" s="85"/>
      <c r="EOH37" s="85"/>
      <c r="EOI37" s="85"/>
      <c r="EOJ37" s="85"/>
      <c r="EOK37" s="85"/>
      <c r="EOL37" s="85"/>
      <c r="EOM37" s="85"/>
      <c r="EON37" s="85"/>
      <c r="EOO37" s="85"/>
      <c r="EOP37" s="85"/>
      <c r="EOQ37" s="85"/>
      <c r="EOR37" s="85"/>
      <c r="EOS37" s="85"/>
      <c r="EOT37" s="85"/>
      <c r="EOU37" s="85"/>
      <c r="EOV37" s="85"/>
      <c r="EOW37" s="85"/>
      <c r="EOX37" s="85"/>
      <c r="EOY37" s="85"/>
      <c r="EOZ37" s="85"/>
      <c r="EPA37" s="85"/>
      <c r="EPB37" s="85"/>
      <c r="EPC37" s="85"/>
      <c r="EPD37" s="85"/>
      <c r="EPE37" s="85"/>
      <c r="EPF37" s="85"/>
      <c r="EPG37" s="85"/>
      <c r="EPH37" s="85"/>
      <c r="EPI37" s="85"/>
      <c r="EPJ37" s="85"/>
      <c r="EPK37" s="85"/>
      <c r="EPL37" s="85"/>
      <c r="EPM37" s="85"/>
      <c r="EPN37" s="85"/>
      <c r="EPO37" s="85"/>
      <c r="EPP37" s="85"/>
      <c r="EPQ37" s="85"/>
      <c r="EPR37" s="85"/>
      <c r="EPS37" s="85"/>
      <c r="EPT37" s="85"/>
      <c r="EPU37" s="85"/>
      <c r="EPV37" s="85"/>
      <c r="EPW37" s="85"/>
      <c r="EPX37" s="85"/>
      <c r="EPY37" s="85"/>
      <c r="EPZ37" s="85"/>
      <c r="EQA37" s="85"/>
      <c r="EQB37" s="85"/>
      <c r="EQC37" s="85"/>
      <c r="EQD37" s="85"/>
      <c r="EQE37" s="85"/>
      <c r="EQF37" s="85"/>
      <c r="EQG37" s="85"/>
      <c r="EQH37" s="85"/>
      <c r="EQI37" s="85"/>
      <c r="EQJ37" s="85"/>
      <c r="EQK37" s="85"/>
      <c r="EQL37" s="85"/>
      <c r="EQM37" s="85"/>
      <c r="EQN37" s="85"/>
      <c r="EQO37" s="85"/>
      <c r="EQP37" s="85"/>
      <c r="EQQ37" s="85"/>
      <c r="EQR37" s="85"/>
      <c r="EQS37" s="85"/>
      <c r="EQT37" s="85"/>
      <c r="EQU37" s="85"/>
      <c r="EQV37" s="85"/>
      <c r="EQW37" s="85"/>
      <c r="EQX37" s="85"/>
      <c r="EQY37" s="85"/>
      <c r="EQZ37" s="85"/>
      <c r="ERA37" s="85"/>
      <c r="ERB37" s="85"/>
      <c r="ERC37" s="85"/>
      <c r="ERD37" s="85"/>
      <c r="ERE37" s="85"/>
      <c r="ERF37" s="85"/>
      <c r="ERG37" s="85"/>
      <c r="ERH37" s="85"/>
      <c r="ERI37" s="85"/>
      <c r="ERJ37" s="85"/>
      <c r="ERK37" s="85"/>
      <c r="ERL37" s="85"/>
      <c r="ERM37" s="85"/>
      <c r="ERN37" s="85"/>
      <c r="ERO37" s="85"/>
      <c r="ERP37" s="85"/>
      <c r="ERQ37" s="85"/>
      <c r="ERR37" s="85"/>
      <c r="ERS37" s="85"/>
      <c r="ERT37" s="85"/>
      <c r="ERU37" s="85"/>
      <c r="ERV37" s="85"/>
      <c r="ERW37" s="85"/>
      <c r="ERX37" s="85"/>
      <c r="ERY37" s="85"/>
      <c r="ERZ37" s="85"/>
      <c r="ESA37" s="85"/>
      <c r="ESB37" s="85"/>
      <c r="ESC37" s="85"/>
      <c r="ESD37" s="85"/>
      <c r="ESE37" s="85"/>
      <c r="ESF37" s="85"/>
      <c r="ESG37" s="85"/>
      <c r="ESH37" s="85"/>
      <c r="ESI37" s="85"/>
      <c r="ESJ37" s="85"/>
      <c r="ESK37" s="85"/>
      <c r="ESL37" s="85"/>
      <c r="ESM37" s="85"/>
      <c r="ESN37" s="85"/>
      <c r="ESO37" s="85"/>
      <c r="ESP37" s="85"/>
      <c r="ESQ37" s="85"/>
      <c r="ESR37" s="85"/>
      <c r="ESS37" s="85"/>
      <c r="EST37" s="85"/>
      <c r="ESU37" s="85"/>
      <c r="ESV37" s="85"/>
      <c r="ESW37" s="85"/>
      <c r="ESX37" s="85"/>
      <c r="ESY37" s="85"/>
      <c r="ESZ37" s="85"/>
      <c r="ETA37" s="85"/>
      <c r="ETB37" s="85"/>
      <c r="ETC37" s="85"/>
      <c r="ETD37" s="85"/>
      <c r="ETE37" s="85"/>
      <c r="ETF37" s="85"/>
      <c r="ETG37" s="85"/>
      <c r="ETH37" s="85"/>
      <c r="ETI37" s="85"/>
      <c r="ETJ37" s="85"/>
      <c r="ETK37" s="85"/>
      <c r="ETL37" s="85"/>
      <c r="ETM37" s="85"/>
      <c r="ETN37" s="85"/>
      <c r="ETO37" s="85"/>
      <c r="ETP37" s="85"/>
      <c r="ETQ37" s="85"/>
      <c r="ETR37" s="85"/>
      <c r="ETS37" s="85"/>
      <c r="ETT37" s="85"/>
      <c r="ETU37" s="85"/>
      <c r="ETV37" s="85"/>
      <c r="ETW37" s="85"/>
      <c r="ETX37" s="85"/>
      <c r="ETY37" s="85"/>
      <c r="ETZ37" s="85"/>
      <c r="EUA37" s="85"/>
      <c r="EUB37" s="85"/>
      <c r="EUC37" s="85"/>
      <c r="EUD37" s="85"/>
      <c r="EUE37" s="85"/>
      <c r="EUF37" s="85"/>
      <c r="EUG37" s="85"/>
      <c r="EUH37" s="85"/>
      <c r="EUI37" s="85"/>
      <c r="EUJ37" s="85"/>
      <c r="EUK37" s="85"/>
      <c r="EUL37" s="85"/>
      <c r="EUM37" s="85"/>
      <c r="EUN37" s="85"/>
      <c r="EUO37" s="85"/>
      <c r="EUP37" s="85"/>
      <c r="EUQ37" s="85"/>
      <c r="EUR37" s="85"/>
      <c r="EUS37" s="85"/>
      <c r="EUT37" s="85"/>
      <c r="EUU37" s="85"/>
      <c r="EUV37" s="85"/>
      <c r="EUW37" s="85"/>
      <c r="EUX37" s="85"/>
      <c r="EUY37" s="85"/>
      <c r="EUZ37" s="85"/>
      <c r="EVA37" s="85"/>
      <c r="EVB37" s="85"/>
      <c r="EVC37" s="85"/>
      <c r="EVD37" s="85"/>
      <c r="EVE37" s="85"/>
      <c r="EVF37" s="85"/>
      <c r="EVG37" s="85"/>
      <c r="EVH37" s="85"/>
      <c r="EVI37" s="85"/>
      <c r="EVJ37" s="85"/>
      <c r="EVK37" s="85"/>
      <c r="EVL37" s="85"/>
      <c r="EVM37" s="85"/>
      <c r="EVN37" s="85"/>
      <c r="EVO37" s="85"/>
      <c r="EVP37" s="85"/>
      <c r="EVQ37" s="85"/>
      <c r="EVR37" s="85"/>
      <c r="EVS37" s="85"/>
      <c r="EVT37" s="85"/>
      <c r="EVU37" s="85"/>
      <c r="EVV37" s="85"/>
      <c r="EVW37" s="85"/>
      <c r="EVX37" s="85"/>
      <c r="EVY37" s="85"/>
      <c r="EVZ37" s="85"/>
      <c r="EWA37" s="85"/>
      <c r="EWB37" s="85"/>
      <c r="EWC37" s="85"/>
      <c r="EWD37" s="85"/>
      <c r="EWE37" s="85"/>
      <c r="EWF37" s="85"/>
      <c r="EWG37" s="85"/>
      <c r="EWH37" s="85"/>
      <c r="EWI37" s="85"/>
      <c r="EWJ37" s="85"/>
      <c r="EWK37" s="85"/>
      <c r="EWL37" s="85"/>
      <c r="EWM37" s="85"/>
      <c r="EWN37" s="85"/>
      <c r="EWO37" s="85"/>
      <c r="EWP37" s="85"/>
      <c r="EWQ37" s="85"/>
      <c r="EWR37" s="85"/>
      <c r="EWS37" s="85"/>
      <c r="EWT37" s="85"/>
      <c r="EWU37" s="85"/>
      <c r="EWV37" s="85"/>
      <c r="EWW37" s="85"/>
      <c r="EWX37" s="85"/>
      <c r="EWY37" s="85"/>
      <c r="EWZ37" s="85"/>
      <c r="EXA37" s="85"/>
      <c r="EXB37" s="85"/>
      <c r="EXC37" s="85"/>
      <c r="EXD37" s="85"/>
      <c r="EXE37" s="85"/>
      <c r="EXF37" s="85"/>
      <c r="EXG37" s="85"/>
      <c r="EXH37" s="85"/>
      <c r="EXI37" s="85"/>
      <c r="EXJ37" s="85"/>
      <c r="EXK37" s="85"/>
      <c r="EXL37" s="85"/>
      <c r="EXM37" s="85"/>
      <c r="EXN37" s="85"/>
      <c r="EXO37" s="85"/>
      <c r="EXP37" s="85"/>
      <c r="EXQ37" s="85"/>
      <c r="EXR37" s="85"/>
      <c r="EXS37" s="85"/>
      <c r="EXT37" s="85"/>
      <c r="EXU37" s="85"/>
      <c r="EXV37" s="85"/>
      <c r="EXW37" s="85"/>
      <c r="EXX37" s="85"/>
      <c r="EXY37" s="85"/>
      <c r="EXZ37" s="85"/>
      <c r="EYA37" s="85"/>
      <c r="EYB37" s="85"/>
      <c r="EYC37" s="85"/>
      <c r="EYD37" s="85"/>
      <c r="EYE37" s="85"/>
      <c r="EYF37" s="85"/>
      <c r="EYG37" s="85"/>
      <c r="EYH37" s="85"/>
      <c r="EYI37" s="85"/>
      <c r="EYJ37" s="85"/>
      <c r="EYK37" s="85"/>
      <c r="EYL37" s="85"/>
      <c r="EYM37" s="85"/>
      <c r="EYN37" s="85"/>
      <c r="EYO37" s="85"/>
      <c r="EYP37" s="85"/>
      <c r="EYQ37" s="85"/>
      <c r="EYR37" s="85"/>
      <c r="EYS37" s="85"/>
      <c r="EYT37" s="85"/>
      <c r="EYU37" s="85"/>
      <c r="EYV37" s="85"/>
      <c r="EYW37" s="85"/>
      <c r="EYX37" s="85"/>
      <c r="EYY37" s="85"/>
      <c r="EYZ37" s="85"/>
      <c r="EZA37" s="85"/>
      <c r="EZB37" s="85"/>
      <c r="EZC37" s="85"/>
      <c r="EZD37" s="85"/>
      <c r="EZE37" s="85"/>
      <c r="EZF37" s="85"/>
      <c r="EZG37" s="85"/>
      <c r="EZH37" s="85"/>
      <c r="EZI37" s="85"/>
      <c r="EZJ37" s="85"/>
      <c r="EZK37" s="85"/>
      <c r="EZL37" s="85"/>
      <c r="EZM37" s="85"/>
      <c r="EZN37" s="85"/>
      <c r="EZO37" s="85"/>
      <c r="EZP37" s="85"/>
      <c r="EZQ37" s="85"/>
      <c r="EZR37" s="85"/>
      <c r="EZS37" s="85"/>
      <c r="EZT37" s="85"/>
      <c r="EZU37" s="85"/>
      <c r="EZV37" s="85"/>
      <c r="EZW37" s="85"/>
      <c r="EZX37" s="85"/>
      <c r="EZY37" s="85"/>
      <c r="EZZ37" s="85"/>
      <c r="FAA37" s="85"/>
      <c r="FAB37" s="85"/>
      <c r="FAC37" s="85"/>
      <c r="FAD37" s="85"/>
      <c r="FAE37" s="85"/>
      <c r="FAF37" s="85"/>
      <c r="FAG37" s="85"/>
      <c r="FAH37" s="85"/>
      <c r="FAI37" s="85"/>
      <c r="FAJ37" s="85"/>
      <c r="FAK37" s="85"/>
      <c r="FAL37" s="85"/>
      <c r="FAM37" s="85"/>
      <c r="FAN37" s="85"/>
      <c r="FAO37" s="85"/>
      <c r="FAP37" s="85"/>
      <c r="FAQ37" s="85"/>
      <c r="FAR37" s="85"/>
      <c r="FAS37" s="85"/>
      <c r="FAT37" s="85"/>
      <c r="FAU37" s="85"/>
      <c r="FAV37" s="85"/>
      <c r="FAW37" s="85"/>
      <c r="FAX37" s="85"/>
      <c r="FAY37" s="85"/>
      <c r="FAZ37" s="85"/>
      <c r="FBA37" s="85"/>
      <c r="FBB37" s="85"/>
      <c r="FBC37" s="85"/>
      <c r="FBD37" s="85"/>
      <c r="FBE37" s="85"/>
      <c r="FBF37" s="85"/>
      <c r="FBG37" s="85"/>
      <c r="FBH37" s="85"/>
      <c r="FBI37" s="85"/>
      <c r="FBJ37" s="85"/>
      <c r="FBK37" s="85"/>
      <c r="FBL37" s="85"/>
      <c r="FBM37" s="85"/>
      <c r="FBN37" s="85"/>
      <c r="FBO37" s="85"/>
      <c r="FBP37" s="85"/>
      <c r="FBQ37" s="85"/>
      <c r="FBR37" s="85"/>
      <c r="FBS37" s="85"/>
      <c r="FBT37" s="85"/>
      <c r="FBU37" s="85"/>
      <c r="FBV37" s="85"/>
      <c r="FBW37" s="85"/>
      <c r="FBX37" s="85"/>
      <c r="FBY37" s="85"/>
      <c r="FBZ37" s="85"/>
      <c r="FCA37" s="85"/>
      <c r="FCB37" s="85"/>
      <c r="FCC37" s="85"/>
      <c r="FCD37" s="85"/>
      <c r="FCE37" s="85"/>
      <c r="FCF37" s="85"/>
      <c r="FCG37" s="85"/>
      <c r="FCH37" s="85"/>
      <c r="FCI37" s="85"/>
      <c r="FCJ37" s="85"/>
      <c r="FCK37" s="85"/>
      <c r="FCL37" s="85"/>
      <c r="FCM37" s="85"/>
      <c r="FCN37" s="85"/>
      <c r="FCO37" s="85"/>
      <c r="FCP37" s="85"/>
      <c r="FCQ37" s="85"/>
      <c r="FCR37" s="85"/>
      <c r="FCS37" s="85"/>
      <c r="FCT37" s="85"/>
      <c r="FCU37" s="85"/>
      <c r="FCV37" s="85"/>
      <c r="FCW37" s="85"/>
      <c r="FCX37" s="85"/>
      <c r="FCY37" s="85"/>
      <c r="FCZ37" s="85"/>
      <c r="FDA37" s="85"/>
      <c r="FDB37" s="85"/>
      <c r="FDC37" s="85"/>
      <c r="FDD37" s="85"/>
      <c r="FDE37" s="85"/>
      <c r="FDF37" s="85"/>
      <c r="FDG37" s="85"/>
      <c r="FDH37" s="85"/>
      <c r="FDI37" s="85"/>
      <c r="FDJ37" s="85"/>
      <c r="FDK37" s="85"/>
      <c r="FDL37" s="85"/>
      <c r="FDM37" s="85"/>
      <c r="FDN37" s="85"/>
      <c r="FDO37" s="85"/>
      <c r="FDP37" s="85"/>
      <c r="FDQ37" s="85"/>
      <c r="FDR37" s="85"/>
      <c r="FDS37" s="85"/>
      <c r="FDT37" s="85"/>
      <c r="FDU37" s="85"/>
      <c r="FDV37" s="85"/>
      <c r="FDW37" s="85"/>
      <c r="FDX37" s="85"/>
      <c r="FDY37" s="85"/>
      <c r="FDZ37" s="85"/>
      <c r="FEA37" s="85"/>
      <c r="FEB37" s="85"/>
      <c r="FEC37" s="85"/>
      <c r="FED37" s="85"/>
      <c r="FEE37" s="85"/>
      <c r="FEF37" s="85"/>
      <c r="FEG37" s="85"/>
      <c r="FEH37" s="85"/>
      <c r="FEI37" s="85"/>
      <c r="FEJ37" s="85"/>
      <c r="FEK37" s="85"/>
      <c r="FEL37" s="85"/>
      <c r="FEM37" s="85"/>
      <c r="FEN37" s="85"/>
      <c r="FEO37" s="85"/>
      <c r="FEP37" s="85"/>
      <c r="FEQ37" s="85"/>
      <c r="FER37" s="85"/>
      <c r="FES37" s="85"/>
      <c r="FET37" s="85"/>
      <c r="FEU37" s="85"/>
      <c r="FEV37" s="85"/>
      <c r="FEW37" s="85"/>
      <c r="FEX37" s="85"/>
      <c r="FEY37" s="85"/>
      <c r="FEZ37" s="85"/>
      <c r="FFA37" s="85"/>
      <c r="FFB37" s="85"/>
      <c r="FFC37" s="85"/>
      <c r="FFD37" s="85"/>
      <c r="FFE37" s="85"/>
      <c r="FFF37" s="85"/>
      <c r="FFG37" s="85"/>
      <c r="FFH37" s="85"/>
      <c r="FFI37" s="85"/>
      <c r="FFJ37" s="85"/>
      <c r="FFK37" s="85"/>
      <c r="FFL37" s="85"/>
      <c r="FFM37" s="85"/>
      <c r="FFN37" s="85"/>
      <c r="FFO37" s="85"/>
      <c r="FFP37" s="85"/>
      <c r="FFQ37" s="85"/>
      <c r="FFR37" s="85"/>
      <c r="FFS37" s="85"/>
      <c r="FFT37" s="85"/>
      <c r="FFU37" s="85"/>
      <c r="FFV37" s="85"/>
      <c r="FFW37" s="85"/>
      <c r="FFX37" s="85"/>
      <c r="FFY37" s="85"/>
      <c r="FFZ37" s="85"/>
      <c r="FGA37" s="85"/>
      <c r="FGB37" s="85"/>
      <c r="FGC37" s="85"/>
      <c r="FGD37" s="85"/>
      <c r="FGE37" s="85"/>
      <c r="FGF37" s="85"/>
      <c r="FGG37" s="85"/>
      <c r="FGH37" s="85"/>
      <c r="FGI37" s="85"/>
      <c r="FGJ37" s="85"/>
      <c r="FGK37" s="85"/>
      <c r="FGL37" s="85"/>
      <c r="FGM37" s="85"/>
      <c r="FGN37" s="85"/>
      <c r="FGO37" s="85"/>
      <c r="FGP37" s="85"/>
      <c r="FGQ37" s="85"/>
      <c r="FGR37" s="85"/>
      <c r="FGS37" s="85"/>
      <c r="FGT37" s="85"/>
      <c r="FGU37" s="85"/>
      <c r="FGV37" s="85"/>
      <c r="FGW37" s="85"/>
      <c r="FGX37" s="85"/>
      <c r="FGY37" s="85"/>
      <c r="FGZ37" s="85"/>
      <c r="FHA37" s="85"/>
      <c r="FHB37" s="85"/>
      <c r="FHC37" s="85"/>
      <c r="FHD37" s="85"/>
      <c r="FHE37" s="85"/>
      <c r="FHF37" s="85"/>
      <c r="FHG37" s="85"/>
      <c r="FHH37" s="85"/>
      <c r="FHI37" s="85"/>
      <c r="FHJ37" s="85"/>
      <c r="FHK37" s="85"/>
      <c r="FHL37" s="85"/>
      <c r="FHM37" s="85"/>
      <c r="FHN37" s="85"/>
      <c r="FHO37" s="85"/>
      <c r="FHP37" s="85"/>
      <c r="FHQ37" s="85"/>
      <c r="FHR37" s="85"/>
      <c r="FHS37" s="85"/>
      <c r="FHT37" s="85"/>
      <c r="FHU37" s="85"/>
      <c r="FHV37" s="85"/>
      <c r="FHW37" s="85"/>
      <c r="FHX37" s="85"/>
      <c r="FHY37" s="85"/>
      <c r="FHZ37" s="85"/>
      <c r="FIA37" s="85"/>
      <c r="FIB37" s="85"/>
      <c r="FIC37" s="85"/>
      <c r="FID37" s="85"/>
      <c r="FIE37" s="85"/>
      <c r="FIF37" s="85"/>
      <c r="FIG37" s="85"/>
      <c r="FIH37" s="85"/>
      <c r="FII37" s="85"/>
      <c r="FIJ37" s="85"/>
      <c r="FIK37" s="85"/>
      <c r="FIL37" s="85"/>
      <c r="FIM37" s="85"/>
      <c r="FIN37" s="85"/>
      <c r="FIO37" s="85"/>
      <c r="FIP37" s="85"/>
      <c r="FIQ37" s="85"/>
      <c r="FIR37" s="85"/>
      <c r="FIS37" s="85"/>
      <c r="FIT37" s="85"/>
      <c r="FIU37" s="85"/>
      <c r="FIV37" s="85"/>
      <c r="FIW37" s="85"/>
      <c r="FIX37" s="85"/>
      <c r="FIY37" s="85"/>
      <c r="FIZ37" s="85"/>
      <c r="FJA37" s="85"/>
      <c r="FJB37" s="85"/>
      <c r="FJC37" s="85"/>
      <c r="FJD37" s="85"/>
      <c r="FJE37" s="85"/>
      <c r="FJF37" s="85"/>
      <c r="FJG37" s="85"/>
      <c r="FJH37" s="85"/>
      <c r="FJI37" s="85"/>
      <c r="FJJ37" s="85"/>
      <c r="FJK37" s="85"/>
      <c r="FJL37" s="85"/>
      <c r="FJM37" s="85"/>
      <c r="FJN37" s="85"/>
      <c r="FJO37" s="85"/>
      <c r="FJP37" s="85"/>
      <c r="FJQ37" s="85"/>
      <c r="FJR37" s="85"/>
      <c r="FJS37" s="85"/>
      <c r="FJT37" s="85"/>
      <c r="FJU37" s="85"/>
      <c r="FJV37" s="85"/>
      <c r="FJW37" s="85"/>
      <c r="FJX37" s="85"/>
      <c r="FJY37" s="85"/>
      <c r="FJZ37" s="85"/>
      <c r="FKA37" s="85"/>
      <c r="FKB37" s="85"/>
      <c r="FKC37" s="85"/>
      <c r="FKD37" s="85"/>
      <c r="FKE37" s="85"/>
      <c r="FKF37" s="85"/>
      <c r="FKG37" s="85"/>
      <c r="FKH37" s="85"/>
      <c r="FKI37" s="85"/>
      <c r="FKJ37" s="85"/>
      <c r="FKK37" s="85"/>
      <c r="FKL37" s="85"/>
      <c r="FKM37" s="85"/>
      <c r="FKN37" s="85"/>
      <c r="FKO37" s="85"/>
      <c r="FKP37" s="85"/>
      <c r="FKQ37" s="85"/>
      <c r="FKR37" s="85"/>
      <c r="FKS37" s="85"/>
      <c r="FKT37" s="85"/>
      <c r="FKU37" s="85"/>
      <c r="FKV37" s="85"/>
      <c r="FKW37" s="85"/>
      <c r="FKX37" s="85"/>
      <c r="FKY37" s="85"/>
      <c r="FKZ37" s="85"/>
      <c r="FLA37" s="85"/>
      <c r="FLB37" s="85"/>
      <c r="FLC37" s="85"/>
      <c r="FLD37" s="85"/>
      <c r="FLE37" s="85"/>
      <c r="FLF37" s="85"/>
      <c r="FLG37" s="85"/>
      <c r="FLH37" s="85"/>
      <c r="FLI37" s="85"/>
      <c r="FLJ37" s="85"/>
      <c r="FLK37" s="85"/>
      <c r="FLL37" s="85"/>
      <c r="FLM37" s="85"/>
      <c r="FLN37" s="85"/>
      <c r="FLO37" s="85"/>
      <c r="FLP37" s="85"/>
      <c r="FLQ37" s="85"/>
      <c r="FLR37" s="85"/>
      <c r="FLS37" s="85"/>
      <c r="FLT37" s="85"/>
      <c r="FLU37" s="85"/>
      <c r="FLV37" s="85"/>
      <c r="FLW37" s="85"/>
      <c r="FLX37" s="85"/>
      <c r="FLY37" s="85"/>
      <c r="FLZ37" s="85"/>
      <c r="FMA37" s="85"/>
      <c r="FMB37" s="85"/>
      <c r="FMC37" s="85"/>
      <c r="FMD37" s="85"/>
      <c r="FME37" s="85"/>
      <c r="FMF37" s="85"/>
      <c r="FMG37" s="85"/>
      <c r="FMH37" s="85"/>
      <c r="FMI37" s="85"/>
      <c r="FMJ37" s="85"/>
      <c r="FMK37" s="85"/>
      <c r="FML37" s="85"/>
      <c r="FMM37" s="85"/>
      <c r="FMN37" s="85"/>
      <c r="FMO37" s="85"/>
      <c r="FMP37" s="85"/>
      <c r="FMQ37" s="85"/>
      <c r="FMR37" s="85"/>
      <c r="FMS37" s="85"/>
      <c r="FMT37" s="85"/>
      <c r="FMU37" s="85"/>
      <c r="FMV37" s="85"/>
      <c r="FMW37" s="85"/>
      <c r="FMX37" s="85"/>
      <c r="FMY37" s="85"/>
      <c r="FMZ37" s="85"/>
      <c r="FNA37" s="85"/>
      <c r="FNB37" s="85"/>
      <c r="FNC37" s="85"/>
      <c r="FND37" s="85"/>
      <c r="FNE37" s="85"/>
      <c r="FNF37" s="85"/>
      <c r="FNG37" s="85"/>
      <c r="FNH37" s="85"/>
      <c r="FNI37" s="85"/>
      <c r="FNJ37" s="85"/>
      <c r="FNK37" s="85"/>
      <c r="FNL37" s="85"/>
      <c r="FNM37" s="85"/>
      <c r="FNN37" s="85"/>
      <c r="FNO37" s="85"/>
      <c r="FNP37" s="85"/>
      <c r="FNQ37" s="85"/>
      <c r="FNR37" s="85"/>
      <c r="FNS37" s="85"/>
      <c r="FNT37" s="85"/>
      <c r="FNU37" s="85"/>
      <c r="FNV37" s="85"/>
      <c r="FNW37" s="85"/>
      <c r="FNX37" s="85"/>
      <c r="FNY37" s="85"/>
      <c r="FNZ37" s="85"/>
      <c r="FOA37" s="85"/>
      <c r="FOB37" s="85"/>
      <c r="FOC37" s="85"/>
      <c r="FOD37" s="85"/>
      <c r="FOE37" s="85"/>
      <c r="FOF37" s="85"/>
      <c r="FOG37" s="85"/>
      <c r="FOH37" s="85"/>
      <c r="FOI37" s="85"/>
      <c r="FOJ37" s="85"/>
      <c r="FOK37" s="85"/>
      <c r="FOL37" s="85"/>
      <c r="FOM37" s="85"/>
      <c r="FON37" s="85"/>
      <c r="FOO37" s="85"/>
      <c r="FOP37" s="85"/>
      <c r="FOQ37" s="85"/>
      <c r="FOR37" s="85"/>
      <c r="FOS37" s="85"/>
      <c r="FOT37" s="85"/>
      <c r="FOU37" s="85"/>
      <c r="FOV37" s="85"/>
      <c r="FOW37" s="85"/>
      <c r="FOX37" s="85"/>
      <c r="FOY37" s="85"/>
      <c r="FOZ37" s="85"/>
      <c r="FPA37" s="85"/>
      <c r="FPB37" s="85"/>
      <c r="FPC37" s="85"/>
      <c r="FPD37" s="85"/>
      <c r="FPE37" s="85"/>
      <c r="FPF37" s="85"/>
      <c r="FPG37" s="85"/>
      <c r="FPH37" s="85"/>
      <c r="FPI37" s="85"/>
      <c r="FPJ37" s="85"/>
      <c r="FPK37" s="85"/>
      <c r="FPL37" s="85"/>
      <c r="FPM37" s="85"/>
      <c r="FPN37" s="85"/>
      <c r="FPO37" s="85"/>
      <c r="FPP37" s="85"/>
      <c r="FPQ37" s="85"/>
      <c r="FPR37" s="85"/>
      <c r="FPS37" s="85"/>
      <c r="FPT37" s="85"/>
      <c r="FPU37" s="85"/>
      <c r="FPV37" s="85"/>
      <c r="FPW37" s="85"/>
      <c r="FPX37" s="85"/>
      <c r="FPY37" s="85"/>
      <c r="FPZ37" s="85"/>
      <c r="FQA37" s="85"/>
      <c r="FQB37" s="85"/>
      <c r="FQC37" s="85"/>
      <c r="FQD37" s="85"/>
      <c r="FQE37" s="85"/>
      <c r="FQF37" s="85"/>
      <c r="FQG37" s="85"/>
      <c r="FQH37" s="85"/>
      <c r="FQI37" s="85"/>
      <c r="FQJ37" s="85"/>
      <c r="FQK37" s="85"/>
      <c r="FQL37" s="85"/>
      <c r="FQM37" s="85"/>
      <c r="FQN37" s="85"/>
      <c r="FQO37" s="85"/>
      <c r="FQP37" s="85"/>
      <c r="FQQ37" s="85"/>
      <c r="FQR37" s="85"/>
      <c r="FQS37" s="85"/>
      <c r="FQT37" s="85"/>
      <c r="FQU37" s="85"/>
      <c r="FQV37" s="85"/>
      <c r="FQW37" s="85"/>
      <c r="FQX37" s="85"/>
      <c r="FQY37" s="85"/>
      <c r="FQZ37" s="85"/>
      <c r="FRA37" s="85"/>
      <c r="FRB37" s="85"/>
      <c r="FRC37" s="85"/>
      <c r="FRD37" s="85"/>
      <c r="FRE37" s="85"/>
      <c r="FRF37" s="85"/>
      <c r="FRG37" s="85"/>
      <c r="FRH37" s="85"/>
      <c r="FRI37" s="85"/>
      <c r="FRJ37" s="85"/>
      <c r="FRK37" s="85"/>
      <c r="FRL37" s="85"/>
      <c r="FRM37" s="85"/>
      <c r="FRN37" s="85"/>
      <c r="FRO37" s="85"/>
      <c r="FRP37" s="85"/>
      <c r="FRQ37" s="85"/>
      <c r="FRR37" s="85"/>
      <c r="FRS37" s="85"/>
      <c r="FRT37" s="85"/>
      <c r="FRU37" s="85"/>
      <c r="FRV37" s="85"/>
      <c r="FRW37" s="85"/>
      <c r="FRX37" s="85"/>
      <c r="FRY37" s="85"/>
      <c r="FRZ37" s="85"/>
      <c r="FSA37" s="85"/>
      <c r="FSB37" s="85"/>
      <c r="FSC37" s="85"/>
      <c r="FSD37" s="85"/>
      <c r="FSE37" s="85"/>
      <c r="FSF37" s="85"/>
      <c r="FSG37" s="85"/>
      <c r="FSH37" s="85"/>
      <c r="FSI37" s="85"/>
      <c r="FSJ37" s="85"/>
      <c r="FSK37" s="85"/>
      <c r="FSL37" s="85"/>
      <c r="FSM37" s="85"/>
      <c r="FSN37" s="85"/>
      <c r="FSO37" s="85"/>
      <c r="FSP37" s="85"/>
      <c r="FSQ37" s="85"/>
      <c r="FSR37" s="85"/>
      <c r="FSS37" s="85"/>
      <c r="FST37" s="85"/>
      <c r="FSU37" s="85"/>
      <c r="FSV37" s="85"/>
      <c r="FSW37" s="85"/>
      <c r="FSX37" s="85"/>
      <c r="FSY37" s="85"/>
      <c r="FSZ37" s="85"/>
      <c r="FTA37" s="85"/>
      <c r="FTB37" s="85"/>
      <c r="FTC37" s="85"/>
      <c r="FTD37" s="85"/>
      <c r="FTE37" s="85"/>
      <c r="FTF37" s="85"/>
      <c r="FTG37" s="85"/>
      <c r="FTH37" s="85"/>
      <c r="FTI37" s="85"/>
      <c r="FTJ37" s="85"/>
      <c r="FTK37" s="85"/>
      <c r="FTL37" s="85"/>
      <c r="FTM37" s="85"/>
      <c r="FTN37" s="85"/>
      <c r="FTO37" s="85"/>
      <c r="FTP37" s="85"/>
      <c r="FTQ37" s="85"/>
      <c r="FTR37" s="85"/>
      <c r="FTS37" s="85"/>
      <c r="FTT37" s="85"/>
      <c r="FTU37" s="85"/>
      <c r="FTV37" s="85"/>
      <c r="FTW37" s="85"/>
      <c r="FTX37" s="85"/>
      <c r="FTY37" s="85"/>
      <c r="FTZ37" s="85"/>
      <c r="FUA37" s="85"/>
      <c r="FUB37" s="85"/>
      <c r="FUC37" s="85"/>
      <c r="FUD37" s="85"/>
      <c r="FUE37" s="85"/>
      <c r="FUF37" s="85"/>
      <c r="FUG37" s="85"/>
      <c r="FUH37" s="85"/>
      <c r="FUI37" s="85"/>
      <c r="FUJ37" s="85"/>
      <c r="FUK37" s="85"/>
      <c r="FUL37" s="85"/>
      <c r="FUM37" s="85"/>
      <c r="FUN37" s="85"/>
      <c r="FUO37" s="85"/>
      <c r="FUP37" s="85"/>
      <c r="FUQ37" s="85"/>
      <c r="FUR37" s="85"/>
      <c r="FUS37" s="85"/>
      <c r="FUT37" s="85"/>
      <c r="FUU37" s="85"/>
      <c r="FUV37" s="85"/>
      <c r="FUW37" s="85"/>
      <c r="FUX37" s="85"/>
      <c r="FUY37" s="85"/>
      <c r="FUZ37" s="85"/>
      <c r="FVA37" s="85"/>
      <c r="FVB37" s="85"/>
      <c r="FVC37" s="85"/>
      <c r="FVD37" s="85"/>
      <c r="FVE37" s="85"/>
      <c r="FVF37" s="85"/>
      <c r="FVG37" s="85"/>
      <c r="FVH37" s="85"/>
      <c r="FVI37" s="85"/>
      <c r="FVJ37" s="85"/>
      <c r="FVK37" s="85"/>
      <c r="FVL37" s="85"/>
      <c r="FVM37" s="85"/>
      <c r="FVN37" s="85"/>
      <c r="FVO37" s="85"/>
      <c r="FVP37" s="85"/>
      <c r="FVQ37" s="85"/>
      <c r="FVR37" s="85"/>
      <c r="FVS37" s="85"/>
      <c r="FVT37" s="85"/>
      <c r="FVU37" s="85"/>
      <c r="FVV37" s="85"/>
      <c r="FVW37" s="85"/>
      <c r="FVX37" s="85"/>
      <c r="FVY37" s="85"/>
      <c r="FVZ37" s="85"/>
      <c r="FWA37" s="85"/>
      <c r="FWB37" s="85"/>
      <c r="FWC37" s="85"/>
      <c r="FWD37" s="85"/>
      <c r="FWE37" s="85"/>
      <c r="FWF37" s="85"/>
      <c r="FWG37" s="85"/>
      <c r="FWH37" s="85"/>
      <c r="FWI37" s="85"/>
      <c r="FWJ37" s="85"/>
      <c r="FWK37" s="85"/>
      <c r="FWL37" s="85"/>
      <c r="FWM37" s="85"/>
      <c r="FWN37" s="85"/>
      <c r="FWO37" s="85"/>
      <c r="FWP37" s="85"/>
      <c r="FWQ37" s="85"/>
      <c r="FWR37" s="85"/>
      <c r="FWS37" s="85"/>
      <c r="FWT37" s="85"/>
      <c r="FWU37" s="85"/>
      <c r="FWV37" s="85"/>
      <c r="FWW37" s="85"/>
      <c r="FWX37" s="85"/>
      <c r="FWY37" s="85"/>
      <c r="FWZ37" s="85"/>
      <c r="FXA37" s="85"/>
      <c r="FXB37" s="85"/>
      <c r="FXC37" s="85"/>
      <c r="FXD37" s="85"/>
      <c r="FXE37" s="85"/>
      <c r="FXF37" s="85"/>
      <c r="FXG37" s="85"/>
      <c r="FXH37" s="85"/>
      <c r="FXI37" s="85"/>
      <c r="FXJ37" s="85"/>
      <c r="FXK37" s="85"/>
      <c r="FXL37" s="85"/>
      <c r="FXM37" s="85"/>
      <c r="FXN37" s="85"/>
      <c r="FXO37" s="85"/>
      <c r="FXP37" s="85"/>
      <c r="FXQ37" s="85"/>
      <c r="FXR37" s="85"/>
      <c r="FXS37" s="85"/>
      <c r="FXT37" s="85"/>
      <c r="FXU37" s="85"/>
      <c r="FXV37" s="85"/>
      <c r="FXW37" s="85"/>
      <c r="FXX37" s="85"/>
      <c r="FXY37" s="85"/>
      <c r="FXZ37" s="85"/>
      <c r="FYA37" s="85"/>
      <c r="FYB37" s="85"/>
      <c r="FYC37" s="85"/>
      <c r="FYD37" s="85"/>
      <c r="FYE37" s="85"/>
      <c r="FYF37" s="85"/>
      <c r="FYG37" s="85"/>
      <c r="FYH37" s="85"/>
      <c r="FYI37" s="85"/>
      <c r="FYJ37" s="85"/>
      <c r="FYK37" s="85"/>
      <c r="FYL37" s="85"/>
      <c r="FYM37" s="85"/>
      <c r="FYN37" s="85"/>
      <c r="FYO37" s="85"/>
      <c r="FYP37" s="85"/>
      <c r="FYQ37" s="85"/>
      <c r="FYR37" s="85"/>
      <c r="FYS37" s="85"/>
      <c r="FYT37" s="85"/>
      <c r="FYU37" s="85"/>
      <c r="FYV37" s="85"/>
      <c r="FYW37" s="85"/>
      <c r="FYX37" s="85"/>
      <c r="FYY37" s="85"/>
      <c r="FYZ37" s="85"/>
      <c r="FZA37" s="85"/>
      <c r="FZB37" s="85"/>
      <c r="FZC37" s="85"/>
      <c r="FZD37" s="85"/>
      <c r="FZE37" s="85"/>
      <c r="FZF37" s="85"/>
      <c r="FZG37" s="85"/>
      <c r="FZH37" s="85"/>
      <c r="FZI37" s="85"/>
      <c r="FZJ37" s="85"/>
      <c r="FZK37" s="85"/>
      <c r="FZL37" s="85"/>
      <c r="FZM37" s="85"/>
      <c r="FZN37" s="85"/>
      <c r="FZO37" s="85"/>
      <c r="FZP37" s="85"/>
      <c r="FZQ37" s="85"/>
      <c r="FZR37" s="85"/>
      <c r="FZS37" s="85"/>
      <c r="FZT37" s="85"/>
      <c r="FZU37" s="85"/>
      <c r="FZV37" s="85"/>
      <c r="FZW37" s="85"/>
      <c r="FZX37" s="85"/>
      <c r="FZY37" s="85"/>
      <c r="FZZ37" s="85"/>
      <c r="GAA37" s="85"/>
      <c r="GAB37" s="85"/>
      <c r="GAC37" s="85"/>
      <c r="GAD37" s="85"/>
      <c r="GAE37" s="85"/>
      <c r="GAF37" s="85"/>
      <c r="GAG37" s="85"/>
      <c r="GAH37" s="85"/>
      <c r="GAI37" s="85"/>
      <c r="GAJ37" s="85"/>
      <c r="GAK37" s="85"/>
      <c r="GAL37" s="85"/>
      <c r="GAM37" s="85"/>
      <c r="GAN37" s="85"/>
      <c r="GAO37" s="85"/>
      <c r="GAP37" s="85"/>
      <c r="GAQ37" s="85"/>
      <c r="GAR37" s="85"/>
      <c r="GAS37" s="85"/>
      <c r="GAT37" s="85"/>
      <c r="GAU37" s="85"/>
      <c r="GAV37" s="85"/>
      <c r="GAW37" s="85"/>
      <c r="GAX37" s="85"/>
      <c r="GAY37" s="85"/>
      <c r="GAZ37" s="85"/>
      <c r="GBA37" s="85"/>
      <c r="GBB37" s="85"/>
      <c r="GBC37" s="85"/>
      <c r="GBD37" s="85"/>
      <c r="GBE37" s="85"/>
      <c r="GBF37" s="85"/>
      <c r="GBG37" s="85"/>
      <c r="GBH37" s="85"/>
      <c r="GBI37" s="85"/>
      <c r="GBJ37" s="85"/>
      <c r="GBK37" s="85"/>
      <c r="GBL37" s="85"/>
      <c r="GBM37" s="85"/>
      <c r="GBN37" s="85"/>
      <c r="GBO37" s="85"/>
      <c r="GBP37" s="85"/>
      <c r="GBQ37" s="85"/>
      <c r="GBR37" s="85"/>
      <c r="GBS37" s="85"/>
      <c r="GBT37" s="85"/>
      <c r="GBU37" s="85"/>
      <c r="GBV37" s="85"/>
      <c r="GBW37" s="85"/>
      <c r="GBX37" s="85"/>
      <c r="GBY37" s="85"/>
      <c r="GBZ37" s="85"/>
      <c r="GCA37" s="85"/>
      <c r="GCB37" s="85"/>
      <c r="GCC37" s="85"/>
      <c r="GCD37" s="85"/>
      <c r="GCE37" s="85"/>
      <c r="GCF37" s="85"/>
      <c r="GCG37" s="85"/>
      <c r="GCH37" s="85"/>
      <c r="GCI37" s="85"/>
      <c r="GCJ37" s="85"/>
      <c r="GCK37" s="85"/>
      <c r="GCL37" s="85"/>
      <c r="GCM37" s="85"/>
      <c r="GCN37" s="85"/>
      <c r="GCO37" s="85"/>
      <c r="GCP37" s="85"/>
      <c r="GCQ37" s="85"/>
      <c r="GCR37" s="85"/>
      <c r="GCS37" s="85"/>
      <c r="GCT37" s="85"/>
      <c r="GCU37" s="85"/>
      <c r="GCV37" s="85"/>
      <c r="GCW37" s="85"/>
      <c r="GCX37" s="85"/>
      <c r="GCY37" s="85"/>
      <c r="GCZ37" s="85"/>
      <c r="GDA37" s="85"/>
      <c r="GDB37" s="85"/>
      <c r="GDC37" s="85"/>
      <c r="GDD37" s="85"/>
      <c r="GDE37" s="85"/>
      <c r="GDF37" s="85"/>
      <c r="GDG37" s="85"/>
      <c r="GDH37" s="85"/>
      <c r="GDI37" s="85"/>
      <c r="GDJ37" s="85"/>
      <c r="GDK37" s="85"/>
      <c r="GDL37" s="85"/>
      <c r="GDM37" s="85"/>
      <c r="GDN37" s="85"/>
      <c r="GDO37" s="85"/>
      <c r="GDP37" s="85"/>
      <c r="GDQ37" s="85"/>
      <c r="GDR37" s="85"/>
      <c r="GDS37" s="85"/>
      <c r="GDT37" s="85"/>
      <c r="GDU37" s="85"/>
      <c r="GDV37" s="85"/>
      <c r="GDW37" s="85"/>
      <c r="GDX37" s="85"/>
      <c r="GDY37" s="85"/>
      <c r="GDZ37" s="85"/>
      <c r="GEA37" s="85"/>
      <c r="GEB37" s="85"/>
      <c r="GEC37" s="85"/>
      <c r="GED37" s="85"/>
      <c r="GEE37" s="85"/>
      <c r="GEF37" s="85"/>
      <c r="GEG37" s="85"/>
      <c r="GEH37" s="85"/>
      <c r="GEI37" s="85"/>
      <c r="GEJ37" s="85"/>
      <c r="GEK37" s="85"/>
      <c r="GEL37" s="85"/>
      <c r="GEM37" s="85"/>
      <c r="GEN37" s="85"/>
      <c r="GEO37" s="85"/>
      <c r="GEP37" s="85"/>
      <c r="GEQ37" s="85"/>
      <c r="GER37" s="85"/>
      <c r="GES37" s="85"/>
      <c r="GET37" s="85"/>
      <c r="GEU37" s="85"/>
      <c r="GEV37" s="85"/>
      <c r="GEW37" s="85"/>
      <c r="GEX37" s="85"/>
      <c r="GEY37" s="85"/>
      <c r="GEZ37" s="85"/>
      <c r="GFA37" s="85"/>
      <c r="GFB37" s="85"/>
      <c r="GFC37" s="85"/>
      <c r="GFD37" s="85"/>
      <c r="GFE37" s="85"/>
      <c r="GFF37" s="85"/>
      <c r="GFG37" s="85"/>
      <c r="GFH37" s="85"/>
      <c r="GFI37" s="85"/>
      <c r="GFJ37" s="85"/>
      <c r="GFK37" s="85"/>
      <c r="GFL37" s="85"/>
      <c r="GFM37" s="85"/>
      <c r="GFN37" s="85"/>
      <c r="GFO37" s="85"/>
      <c r="GFP37" s="85"/>
      <c r="GFQ37" s="85"/>
      <c r="GFR37" s="85"/>
      <c r="GFS37" s="85"/>
      <c r="GFT37" s="85"/>
      <c r="GFU37" s="85"/>
      <c r="GFV37" s="85"/>
      <c r="GFW37" s="85"/>
      <c r="GFX37" s="85"/>
      <c r="GFY37" s="85"/>
      <c r="GFZ37" s="85"/>
      <c r="GGA37" s="85"/>
      <c r="GGB37" s="85"/>
      <c r="GGC37" s="85"/>
      <c r="GGD37" s="85"/>
      <c r="GGE37" s="85"/>
      <c r="GGF37" s="85"/>
      <c r="GGG37" s="85"/>
      <c r="GGH37" s="85"/>
      <c r="GGI37" s="85"/>
      <c r="GGJ37" s="85"/>
      <c r="GGK37" s="85"/>
      <c r="GGL37" s="85"/>
      <c r="GGM37" s="85"/>
      <c r="GGN37" s="85"/>
      <c r="GGO37" s="85"/>
      <c r="GGP37" s="85"/>
      <c r="GGQ37" s="85"/>
      <c r="GGR37" s="85"/>
      <c r="GGS37" s="85"/>
      <c r="GGT37" s="85"/>
      <c r="GGU37" s="85"/>
      <c r="GGV37" s="85"/>
      <c r="GGW37" s="85"/>
      <c r="GGX37" s="85"/>
      <c r="GGY37" s="85"/>
      <c r="GGZ37" s="85"/>
      <c r="GHA37" s="85"/>
      <c r="GHB37" s="85"/>
      <c r="GHC37" s="85"/>
      <c r="GHD37" s="85"/>
      <c r="GHE37" s="85"/>
      <c r="GHF37" s="85"/>
      <c r="GHG37" s="85"/>
      <c r="GHH37" s="85"/>
      <c r="GHI37" s="85"/>
      <c r="GHJ37" s="85"/>
      <c r="GHK37" s="85"/>
      <c r="GHL37" s="85"/>
      <c r="GHM37" s="85"/>
      <c r="GHN37" s="85"/>
      <c r="GHO37" s="85"/>
      <c r="GHP37" s="85"/>
      <c r="GHQ37" s="85"/>
      <c r="GHR37" s="85"/>
      <c r="GHS37" s="85"/>
      <c r="GHT37" s="85"/>
      <c r="GHU37" s="85"/>
      <c r="GHV37" s="85"/>
      <c r="GHW37" s="85"/>
      <c r="GHX37" s="85"/>
      <c r="GHY37" s="85"/>
      <c r="GHZ37" s="85"/>
      <c r="GIA37" s="85"/>
      <c r="GIB37" s="85"/>
      <c r="GIC37" s="85"/>
      <c r="GID37" s="85"/>
      <c r="GIE37" s="85"/>
      <c r="GIF37" s="85"/>
      <c r="GIG37" s="85"/>
      <c r="GIH37" s="85"/>
      <c r="GII37" s="85"/>
      <c r="GIJ37" s="85"/>
      <c r="GIK37" s="85"/>
      <c r="GIL37" s="85"/>
      <c r="GIM37" s="85"/>
      <c r="GIN37" s="85"/>
      <c r="GIO37" s="85"/>
      <c r="GIP37" s="85"/>
      <c r="GIQ37" s="85"/>
      <c r="GIR37" s="85"/>
      <c r="GIS37" s="85"/>
      <c r="GIT37" s="85"/>
      <c r="GIU37" s="85"/>
      <c r="GIV37" s="85"/>
      <c r="GIW37" s="85"/>
      <c r="GIX37" s="85"/>
      <c r="GIY37" s="85"/>
      <c r="GIZ37" s="85"/>
      <c r="GJA37" s="85"/>
      <c r="GJB37" s="85"/>
      <c r="GJC37" s="85"/>
      <c r="GJD37" s="85"/>
      <c r="GJE37" s="85"/>
      <c r="GJF37" s="85"/>
      <c r="GJG37" s="85"/>
      <c r="GJH37" s="85"/>
      <c r="GJI37" s="85"/>
      <c r="GJJ37" s="85"/>
      <c r="GJK37" s="85"/>
      <c r="GJL37" s="85"/>
      <c r="GJM37" s="85"/>
      <c r="GJN37" s="85"/>
      <c r="GJO37" s="85"/>
      <c r="GJP37" s="85"/>
      <c r="GJQ37" s="85"/>
      <c r="GJR37" s="85"/>
      <c r="GJS37" s="85"/>
      <c r="GJT37" s="85"/>
      <c r="GJU37" s="85"/>
      <c r="GJV37" s="85"/>
      <c r="GJW37" s="85"/>
      <c r="GJX37" s="85"/>
      <c r="GJY37" s="85"/>
      <c r="GJZ37" s="85"/>
      <c r="GKA37" s="85"/>
      <c r="GKB37" s="85"/>
      <c r="GKC37" s="85"/>
      <c r="GKD37" s="85"/>
      <c r="GKE37" s="85"/>
      <c r="GKF37" s="85"/>
      <c r="GKG37" s="85"/>
      <c r="GKH37" s="85"/>
      <c r="GKI37" s="85"/>
      <c r="GKJ37" s="85"/>
      <c r="GKK37" s="85"/>
      <c r="GKL37" s="85"/>
      <c r="GKM37" s="85"/>
      <c r="GKN37" s="85"/>
      <c r="GKO37" s="85"/>
      <c r="GKP37" s="85"/>
      <c r="GKQ37" s="85"/>
      <c r="GKR37" s="85"/>
      <c r="GKS37" s="85"/>
      <c r="GKT37" s="85"/>
      <c r="GKU37" s="85"/>
      <c r="GKV37" s="85"/>
      <c r="GKW37" s="85"/>
      <c r="GKX37" s="85"/>
      <c r="GKY37" s="85"/>
      <c r="GKZ37" s="85"/>
      <c r="GLA37" s="85"/>
      <c r="GLB37" s="85"/>
      <c r="GLC37" s="85"/>
      <c r="GLD37" s="85"/>
      <c r="GLE37" s="85"/>
      <c r="GLF37" s="85"/>
      <c r="GLG37" s="85"/>
      <c r="GLH37" s="85"/>
      <c r="GLI37" s="85"/>
      <c r="GLJ37" s="85"/>
      <c r="GLK37" s="85"/>
      <c r="GLL37" s="85"/>
      <c r="GLM37" s="85"/>
      <c r="GLN37" s="85"/>
      <c r="GLO37" s="85"/>
      <c r="GLP37" s="85"/>
      <c r="GLQ37" s="85"/>
      <c r="GLR37" s="85"/>
      <c r="GLS37" s="85"/>
      <c r="GLT37" s="85"/>
      <c r="GLU37" s="85"/>
      <c r="GLV37" s="85"/>
      <c r="GLW37" s="85"/>
      <c r="GLX37" s="85"/>
      <c r="GLY37" s="85"/>
      <c r="GLZ37" s="85"/>
      <c r="GMA37" s="85"/>
      <c r="GMB37" s="85"/>
      <c r="GMC37" s="85"/>
      <c r="GMD37" s="85"/>
      <c r="GME37" s="85"/>
      <c r="GMF37" s="85"/>
      <c r="GMG37" s="85"/>
      <c r="GMH37" s="85"/>
      <c r="GMI37" s="85"/>
      <c r="GMJ37" s="85"/>
      <c r="GMK37" s="85"/>
      <c r="GML37" s="85"/>
      <c r="GMM37" s="85"/>
      <c r="GMN37" s="85"/>
      <c r="GMO37" s="85"/>
      <c r="GMP37" s="85"/>
      <c r="GMQ37" s="85"/>
      <c r="GMR37" s="85"/>
      <c r="GMS37" s="85"/>
      <c r="GMT37" s="85"/>
      <c r="GMU37" s="85"/>
      <c r="GMV37" s="85"/>
      <c r="GMW37" s="85"/>
      <c r="GMX37" s="85"/>
      <c r="GMY37" s="85"/>
      <c r="GMZ37" s="85"/>
      <c r="GNA37" s="85"/>
      <c r="GNB37" s="85"/>
      <c r="GNC37" s="85"/>
      <c r="GND37" s="85"/>
      <c r="GNE37" s="85"/>
      <c r="GNF37" s="85"/>
      <c r="GNG37" s="85"/>
      <c r="GNH37" s="85"/>
      <c r="GNI37" s="85"/>
      <c r="GNJ37" s="85"/>
      <c r="GNK37" s="85"/>
      <c r="GNL37" s="85"/>
      <c r="GNM37" s="85"/>
      <c r="GNN37" s="85"/>
      <c r="GNO37" s="85"/>
      <c r="GNP37" s="85"/>
      <c r="GNQ37" s="85"/>
      <c r="GNR37" s="85"/>
      <c r="GNS37" s="85"/>
      <c r="GNT37" s="85"/>
      <c r="GNU37" s="85"/>
      <c r="GNV37" s="85"/>
      <c r="GNW37" s="85"/>
      <c r="GNX37" s="85"/>
      <c r="GNY37" s="85"/>
      <c r="GNZ37" s="85"/>
      <c r="GOA37" s="85"/>
      <c r="GOB37" s="85"/>
      <c r="GOC37" s="85"/>
      <c r="GOD37" s="85"/>
      <c r="GOE37" s="85"/>
      <c r="GOF37" s="85"/>
      <c r="GOG37" s="85"/>
      <c r="GOH37" s="85"/>
      <c r="GOI37" s="85"/>
      <c r="GOJ37" s="85"/>
      <c r="GOK37" s="85"/>
      <c r="GOL37" s="85"/>
      <c r="GOM37" s="85"/>
      <c r="GON37" s="85"/>
      <c r="GOO37" s="85"/>
      <c r="GOP37" s="85"/>
      <c r="GOQ37" s="85"/>
      <c r="GOR37" s="85"/>
      <c r="GOS37" s="85"/>
      <c r="GOT37" s="85"/>
      <c r="GOU37" s="85"/>
      <c r="GOV37" s="85"/>
      <c r="GOW37" s="85"/>
      <c r="GOX37" s="85"/>
      <c r="GOY37" s="85"/>
      <c r="GOZ37" s="85"/>
      <c r="GPA37" s="85"/>
      <c r="GPB37" s="85"/>
      <c r="GPC37" s="85"/>
      <c r="GPD37" s="85"/>
      <c r="GPE37" s="85"/>
      <c r="GPF37" s="85"/>
      <c r="GPG37" s="85"/>
      <c r="GPH37" s="85"/>
      <c r="GPI37" s="85"/>
      <c r="GPJ37" s="85"/>
      <c r="GPK37" s="85"/>
      <c r="GPL37" s="85"/>
      <c r="GPM37" s="85"/>
      <c r="GPN37" s="85"/>
      <c r="GPO37" s="85"/>
      <c r="GPP37" s="85"/>
      <c r="GPQ37" s="85"/>
      <c r="GPR37" s="85"/>
      <c r="GPS37" s="85"/>
      <c r="GPT37" s="85"/>
      <c r="GPU37" s="85"/>
      <c r="GPV37" s="85"/>
      <c r="GPW37" s="85"/>
      <c r="GPX37" s="85"/>
      <c r="GPY37" s="85"/>
      <c r="GPZ37" s="85"/>
      <c r="GQA37" s="85"/>
      <c r="GQB37" s="85"/>
      <c r="GQC37" s="85"/>
      <c r="GQD37" s="85"/>
      <c r="GQE37" s="85"/>
      <c r="GQF37" s="85"/>
      <c r="GQG37" s="85"/>
      <c r="GQH37" s="85"/>
      <c r="GQI37" s="85"/>
      <c r="GQJ37" s="85"/>
      <c r="GQK37" s="85"/>
      <c r="GQL37" s="85"/>
      <c r="GQM37" s="85"/>
      <c r="GQN37" s="85"/>
      <c r="GQO37" s="85"/>
      <c r="GQP37" s="85"/>
      <c r="GQQ37" s="85"/>
      <c r="GQR37" s="85"/>
      <c r="GQS37" s="85"/>
      <c r="GQT37" s="85"/>
      <c r="GQU37" s="85"/>
      <c r="GQV37" s="85"/>
      <c r="GQW37" s="85"/>
      <c r="GQX37" s="85"/>
      <c r="GQY37" s="85"/>
      <c r="GQZ37" s="85"/>
      <c r="GRA37" s="85"/>
      <c r="GRB37" s="85"/>
      <c r="GRC37" s="85"/>
      <c r="GRD37" s="85"/>
      <c r="GRE37" s="85"/>
      <c r="GRF37" s="85"/>
      <c r="GRG37" s="85"/>
      <c r="GRH37" s="85"/>
      <c r="GRI37" s="85"/>
      <c r="GRJ37" s="85"/>
      <c r="GRK37" s="85"/>
      <c r="GRL37" s="85"/>
      <c r="GRM37" s="85"/>
      <c r="GRN37" s="85"/>
      <c r="GRO37" s="85"/>
      <c r="GRP37" s="85"/>
      <c r="GRQ37" s="85"/>
      <c r="GRR37" s="85"/>
      <c r="GRS37" s="85"/>
      <c r="GRT37" s="85"/>
      <c r="GRU37" s="85"/>
      <c r="GRV37" s="85"/>
      <c r="GRW37" s="85"/>
      <c r="GRX37" s="85"/>
      <c r="GRY37" s="85"/>
      <c r="GRZ37" s="85"/>
      <c r="GSA37" s="85"/>
      <c r="GSB37" s="85"/>
      <c r="GSC37" s="85"/>
      <c r="GSD37" s="85"/>
      <c r="GSE37" s="85"/>
      <c r="GSF37" s="85"/>
      <c r="GSG37" s="85"/>
      <c r="GSH37" s="85"/>
      <c r="GSI37" s="85"/>
      <c r="GSJ37" s="85"/>
      <c r="GSK37" s="85"/>
      <c r="GSL37" s="85"/>
      <c r="GSM37" s="85"/>
      <c r="GSN37" s="85"/>
      <c r="GSO37" s="85"/>
      <c r="GSP37" s="85"/>
      <c r="GSQ37" s="85"/>
      <c r="GSR37" s="85"/>
      <c r="GSS37" s="85"/>
      <c r="GST37" s="85"/>
      <c r="GSU37" s="85"/>
      <c r="GSV37" s="85"/>
      <c r="GSW37" s="85"/>
      <c r="GSX37" s="85"/>
      <c r="GSY37" s="85"/>
      <c r="GSZ37" s="85"/>
      <c r="GTA37" s="85"/>
      <c r="GTB37" s="85"/>
      <c r="GTC37" s="85"/>
      <c r="GTD37" s="85"/>
      <c r="GTE37" s="85"/>
      <c r="GTF37" s="85"/>
      <c r="GTG37" s="85"/>
      <c r="GTH37" s="85"/>
      <c r="GTI37" s="85"/>
      <c r="GTJ37" s="85"/>
      <c r="GTK37" s="85"/>
      <c r="GTL37" s="85"/>
      <c r="GTM37" s="85"/>
      <c r="GTN37" s="85"/>
      <c r="GTO37" s="85"/>
      <c r="GTP37" s="85"/>
      <c r="GTQ37" s="85"/>
      <c r="GTR37" s="85"/>
      <c r="GTS37" s="85"/>
      <c r="GTT37" s="85"/>
      <c r="GTU37" s="85"/>
      <c r="GTV37" s="85"/>
      <c r="GTW37" s="85"/>
      <c r="GTX37" s="85"/>
      <c r="GTY37" s="85"/>
      <c r="GTZ37" s="85"/>
      <c r="GUA37" s="85"/>
      <c r="GUB37" s="85"/>
      <c r="GUC37" s="85"/>
      <c r="GUD37" s="85"/>
      <c r="GUE37" s="85"/>
      <c r="GUF37" s="85"/>
      <c r="GUG37" s="85"/>
      <c r="GUH37" s="85"/>
      <c r="GUI37" s="85"/>
      <c r="GUJ37" s="85"/>
      <c r="GUK37" s="85"/>
      <c r="GUL37" s="85"/>
      <c r="GUM37" s="85"/>
      <c r="GUN37" s="85"/>
      <c r="GUO37" s="85"/>
      <c r="GUP37" s="85"/>
      <c r="GUQ37" s="85"/>
      <c r="GUR37" s="85"/>
      <c r="GUS37" s="85"/>
      <c r="GUT37" s="85"/>
      <c r="GUU37" s="85"/>
      <c r="GUV37" s="85"/>
      <c r="GUW37" s="85"/>
      <c r="GUX37" s="85"/>
      <c r="GUY37" s="85"/>
      <c r="GUZ37" s="85"/>
      <c r="GVA37" s="85"/>
      <c r="GVB37" s="85"/>
      <c r="GVC37" s="85"/>
      <c r="GVD37" s="85"/>
      <c r="GVE37" s="85"/>
      <c r="GVF37" s="85"/>
      <c r="GVG37" s="85"/>
      <c r="GVH37" s="85"/>
      <c r="GVI37" s="85"/>
      <c r="GVJ37" s="85"/>
      <c r="GVK37" s="85"/>
      <c r="GVL37" s="85"/>
      <c r="GVM37" s="85"/>
      <c r="GVN37" s="85"/>
      <c r="GVO37" s="85"/>
      <c r="GVP37" s="85"/>
      <c r="GVQ37" s="85"/>
      <c r="GVR37" s="85"/>
      <c r="GVS37" s="85"/>
      <c r="GVT37" s="85"/>
      <c r="GVU37" s="85"/>
      <c r="GVV37" s="85"/>
      <c r="GVW37" s="85"/>
      <c r="GVX37" s="85"/>
      <c r="GVY37" s="85"/>
      <c r="GVZ37" s="85"/>
      <c r="GWA37" s="85"/>
      <c r="GWB37" s="85"/>
      <c r="GWC37" s="85"/>
      <c r="GWD37" s="85"/>
      <c r="GWE37" s="85"/>
      <c r="GWF37" s="85"/>
      <c r="GWG37" s="85"/>
      <c r="GWH37" s="85"/>
      <c r="GWI37" s="85"/>
      <c r="GWJ37" s="85"/>
      <c r="GWK37" s="85"/>
      <c r="GWL37" s="85"/>
      <c r="GWM37" s="85"/>
      <c r="GWN37" s="85"/>
      <c r="GWO37" s="85"/>
      <c r="GWP37" s="85"/>
      <c r="GWQ37" s="85"/>
      <c r="GWR37" s="85"/>
      <c r="GWS37" s="85"/>
      <c r="GWT37" s="85"/>
      <c r="GWU37" s="85"/>
      <c r="GWV37" s="85"/>
      <c r="GWW37" s="85"/>
      <c r="GWX37" s="85"/>
      <c r="GWY37" s="85"/>
      <c r="GWZ37" s="85"/>
      <c r="GXA37" s="85"/>
      <c r="GXB37" s="85"/>
      <c r="GXC37" s="85"/>
      <c r="GXD37" s="85"/>
      <c r="GXE37" s="85"/>
      <c r="GXF37" s="85"/>
      <c r="GXG37" s="85"/>
      <c r="GXH37" s="85"/>
      <c r="GXI37" s="85"/>
      <c r="GXJ37" s="85"/>
      <c r="GXK37" s="85"/>
      <c r="GXL37" s="85"/>
      <c r="GXM37" s="85"/>
      <c r="GXN37" s="85"/>
      <c r="GXO37" s="85"/>
      <c r="GXP37" s="85"/>
      <c r="GXQ37" s="85"/>
      <c r="GXR37" s="85"/>
      <c r="GXS37" s="85"/>
      <c r="GXT37" s="85"/>
      <c r="GXU37" s="85"/>
      <c r="GXV37" s="85"/>
      <c r="GXW37" s="85"/>
      <c r="GXX37" s="85"/>
      <c r="GXY37" s="85"/>
      <c r="GXZ37" s="85"/>
      <c r="GYA37" s="85"/>
      <c r="GYB37" s="85"/>
      <c r="GYC37" s="85"/>
      <c r="GYD37" s="85"/>
      <c r="GYE37" s="85"/>
      <c r="GYF37" s="85"/>
      <c r="GYG37" s="85"/>
      <c r="GYH37" s="85"/>
      <c r="GYI37" s="85"/>
      <c r="GYJ37" s="85"/>
      <c r="GYK37" s="85"/>
      <c r="GYL37" s="85"/>
      <c r="GYM37" s="85"/>
      <c r="GYN37" s="85"/>
      <c r="GYO37" s="85"/>
      <c r="GYP37" s="85"/>
      <c r="GYQ37" s="85"/>
      <c r="GYR37" s="85"/>
      <c r="GYS37" s="85"/>
      <c r="GYT37" s="85"/>
      <c r="GYU37" s="85"/>
      <c r="GYV37" s="85"/>
      <c r="GYW37" s="85"/>
      <c r="GYX37" s="85"/>
      <c r="GYY37" s="85"/>
      <c r="GYZ37" s="85"/>
      <c r="GZA37" s="85"/>
      <c r="GZB37" s="85"/>
      <c r="GZC37" s="85"/>
      <c r="GZD37" s="85"/>
      <c r="GZE37" s="85"/>
      <c r="GZF37" s="85"/>
      <c r="GZG37" s="85"/>
      <c r="GZH37" s="85"/>
      <c r="GZI37" s="85"/>
      <c r="GZJ37" s="85"/>
      <c r="GZK37" s="85"/>
      <c r="GZL37" s="85"/>
      <c r="GZM37" s="85"/>
      <c r="GZN37" s="85"/>
      <c r="GZO37" s="85"/>
      <c r="GZP37" s="85"/>
      <c r="GZQ37" s="85"/>
      <c r="GZR37" s="85"/>
      <c r="GZS37" s="85"/>
      <c r="GZT37" s="85"/>
      <c r="GZU37" s="85"/>
      <c r="GZV37" s="85"/>
      <c r="GZW37" s="85"/>
      <c r="GZX37" s="85"/>
      <c r="GZY37" s="85"/>
      <c r="GZZ37" s="85"/>
      <c r="HAA37" s="85"/>
      <c r="HAB37" s="85"/>
      <c r="HAC37" s="85"/>
      <c r="HAD37" s="85"/>
      <c r="HAE37" s="85"/>
      <c r="HAF37" s="85"/>
      <c r="HAG37" s="85"/>
      <c r="HAH37" s="85"/>
      <c r="HAI37" s="85"/>
      <c r="HAJ37" s="85"/>
      <c r="HAK37" s="85"/>
      <c r="HAL37" s="85"/>
      <c r="HAM37" s="85"/>
      <c r="HAN37" s="85"/>
      <c r="HAO37" s="85"/>
      <c r="HAP37" s="85"/>
      <c r="HAQ37" s="85"/>
      <c r="HAR37" s="85"/>
      <c r="HAS37" s="85"/>
      <c r="HAT37" s="85"/>
      <c r="HAU37" s="85"/>
      <c r="HAV37" s="85"/>
      <c r="HAW37" s="85"/>
      <c r="HAX37" s="85"/>
      <c r="HAY37" s="85"/>
      <c r="HAZ37" s="85"/>
      <c r="HBA37" s="85"/>
      <c r="HBB37" s="85"/>
      <c r="HBC37" s="85"/>
      <c r="HBD37" s="85"/>
      <c r="HBE37" s="85"/>
      <c r="HBF37" s="85"/>
      <c r="HBG37" s="85"/>
      <c r="HBH37" s="85"/>
      <c r="HBI37" s="85"/>
      <c r="HBJ37" s="85"/>
      <c r="HBK37" s="85"/>
      <c r="HBL37" s="85"/>
      <c r="HBM37" s="85"/>
      <c r="HBN37" s="85"/>
      <c r="HBO37" s="85"/>
      <c r="HBP37" s="85"/>
      <c r="HBQ37" s="85"/>
      <c r="HBR37" s="85"/>
      <c r="HBS37" s="85"/>
      <c r="HBT37" s="85"/>
      <c r="HBU37" s="85"/>
      <c r="HBV37" s="85"/>
      <c r="HBW37" s="85"/>
      <c r="HBX37" s="85"/>
      <c r="HBY37" s="85"/>
      <c r="HBZ37" s="85"/>
      <c r="HCA37" s="85"/>
      <c r="HCB37" s="85"/>
      <c r="HCC37" s="85"/>
      <c r="HCD37" s="85"/>
      <c r="HCE37" s="85"/>
      <c r="HCF37" s="85"/>
      <c r="HCG37" s="85"/>
      <c r="HCH37" s="85"/>
      <c r="HCI37" s="85"/>
      <c r="HCJ37" s="85"/>
      <c r="HCK37" s="85"/>
      <c r="HCL37" s="85"/>
      <c r="HCM37" s="85"/>
      <c r="HCN37" s="85"/>
      <c r="HCO37" s="85"/>
      <c r="HCP37" s="85"/>
      <c r="HCQ37" s="85"/>
      <c r="HCR37" s="85"/>
      <c r="HCS37" s="85"/>
      <c r="HCT37" s="85"/>
      <c r="HCU37" s="85"/>
      <c r="HCV37" s="85"/>
      <c r="HCW37" s="85"/>
      <c r="HCX37" s="85"/>
      <c r="HCY37" s="85"/>
      <c r="HCZ37" s="85"/>
      <c r="HDA37" s="85"/>
      <c r="HDB37" s="85"/>
      <c r="HDC37" s="85"/>
      <c r="HDD37" s="85"/>
      <c r="HDE37" s="85"/>
      <c r="HDF37" s="85"/>
      <c r="HDG37" s="85"/>
      <c r="HDH37" s="85"/>
      <c r="HDI37" s="85"/>
      <c r="HDJ37" s="85"/>
      <c r="HDK37" s="85"/>
      <c r="HDL37" s="85"/>
      <c r="HDM37" s="85"/>
      <c r="HDN37" s="85"/>
      <c r="HDO37" s="85"/>
      <c r="HDP37" s="85"/>
      <c r="HDQ37" s="85"/>
      <c r="HDR37" s="85"/>
      <c r="HDS37" s="85"/>
      <c r="HDT37" s="85"/>
      <c r="HDU37" s="85"/>
      <c r="HDV37" s="85"/>
      <c r="HDW37" s="85"/>
      <c r="HDX37" s="85"/>
      <c r="HDY37" s="85"/>
      <c r="HDZ37" s="85"/>
      <c r="HEA37" s="85"/>
      <c r="HEB37" s="85"/>
      <c r="HEC37" s="85"/>
      <c r="HED37" s="85"/>
      <c r="HEE37" s="85"/>
      <c r="HEF37" s="85"/>
      <c r="HEG37" s="85"/>
      <c r="HEH37" s="85"/>
      <c r="HEI37" s="85"/>
      <c r="HEJ37" s="85"/>
      <c r="HEK37" s="85"/>
      <c r="HEL37" s="85"/>
      <c r="HEM37" s="85"/>
      <c r="HEN37" s="85"/>
      <c r="HEO37" s="85"/>
      <c r="HEP37" s="85"/>
      <c r="HEQ37" s="85"/>
      <c r="HER37" s="85"/>
      <c r="HES37" s="85"/>
      <c r="HET37" s="85"/>
      <c r="HEU37" s="85"/>
      <c r="HEV37" s="85"/>
      <c r="HEW37" s="85"/>
      <c r="HEX37" s="85"/>
      <c r="HEY37" s="85"/>
      <c r="HEZ37" s="85"/>
      <c r="HFA37" s="85"/>
      <c r="HFB37" s="85"/>
      <c r="HFC37" s="85"/>
      <c r="HFD37" s="85"/>
      <c r="HFE37" s="85"/>
      <c r="HFF37" s="85"/>
      <c r="HFG37" s="85"/>
      <c r="HFH37" s="85"/>
      <c r="HFI37" s="85"/>
      <c r="HFJ37" s="85"/>
      <c r="HFK37" s="85"/>
      <c r="HFL37" s="85"/>
      <c r="HFM37" s="85"/>
      <c r="HFN37" s="85"/>
      <c r="HFO37" s="85"/>
      <c r="HFP37" s="85"/>
      <c r="HFQ37" s="85"/>
      <c r="HFR37" s="85"/>
      <c r="HFS37" s="85"/>
      <c r="HFT37" s="85"/>
      <c r="HFU37" s="85"/>
      <c r="HFV37" s="85"/>
      <c r="HFW37" s="85"/>
      <c r="HFX37" s="85"/>
      <c r="HFY37" s="85"/>
      <c r="HFZ37" s="85"/>
      <c r="HGA37" s="85"/>
      <c r="HGB37" s="85"/>
      <c r="HGC37" s="85"/>
      <c r="HGD37" s="85"/>
      <c r="HGE37" s="85"/>
      <c r="HGF37" s="85"/>
      <c r="HGG37" s="85"/>
      <c r="HGH37" s="85"/>
      <c r="HGI37" s="85"/>
      <c r="HGJ37" s="85"/>
      <c r="HGK37" s="85"/>
      <c r="HGL37" s="85"/>
      <c r="HGM37" s="85"/>
      <c r="HGN37" s="85"/>
      <c r="HGO37" s="85"/>
      <c r="HGP37" s="85"/>
      <c r="HGQ37" s="85"/>
      <c r="HGR37" s="85"/>
      <c r="HGS37" s="85"/>
      <c r="HGT37" s="85"/>
      <c r="HGU37" s="85"/>
      <c r="HGV37" s="85"/>
      <c r="HGW37" s="85"/>
      <c r="HGX37" s="85"/>
      <c r="HGY37" s="85"/>
      <c r="HGZ37" s="85"/>
      <c r="HHA37" s="85"/>
      <c r="HHB37" s="85"/>
      <c r="HHC37" s="85"/>
      <c r="HHD37" s="85"/>
      <c r="HHE37" s="85"/>
      <c r="HHF37" s="85"/>
      <c r="HHG37" s="85"/>
      <c r="HHH37" s="85"/>
      <c r="HHI37" s="85"/>
      <c r="HHJ37" s="85"/>
      <c r="HHK37" s="85"/>
      <c r="HHL37" s="85"/>
      <c r="HHM37" s="85"/>
      <c r="HHN37" s="85"/>
      <c r="HHO37" s="85"/>
      <c r="HHP37" s="85"/>
      <c r="HHQ37" s="85"/>
      <c r="HHR37" s="85"/>
      <c r="HHS37" s="85"/>
      <c r="HHT37" s="85"/>
      <c r="HHU37" s="85"/>
      <c r="HHV37" s="85"/>
      <c r="HHW37" s="85"/>
      <c r="HHX37" s="85"/>
      <c r="HHY37" s="85"/>
      <c r="HHZ37" s="85"/>
      <c r="HIA37" s="85"/>
      <c r="HIB37" s="85"/>
      <c r="HIC37" s="85"/>
      <c r="HID37" s="85"/>
      <c r="HIE37" s="85"/>
      <c r="HIF37" s="85"/>
      <c r="HIG37" s="85"/>
      <c r="HIH37" s="85"/>
      <c r="HII37" s="85"/>
      <c r="HIJ37" s="85"/>
      <c r="HIK37" s="85"/>
      <c r="HIL37" s="85"/>
      <c r="HIM37" s="85"/>
      <c r="HIN37" s="85"/>
      <c r="HIO37" s="85"/>
      <c r="HIP37" s="85"/>
      <c r="HIQ37" s="85"/>
      <c r="HIR37" s="85"/>
      <c r="HIS37" s="85"/>
      <c r="HIT37" s="85"/>
      <c r="HIU37" s="85"/>
      <c r="HIV37" s="85"/>
      <c r="HIW37" s="85"/>
      <c r="HIX37" s="85"/>
      <c r="HIY37" s="85"/>
      <c r="HIZ37" s="85"/>
      <c r="HJA37" s="85"/>
      <c r="HJB37" s="85"/>
      <c r="HJC37" s="85"/>
      <c r="HJD37" s="85"/>
      <c r="HJE37" s="85"/>
      <c r="HJF37" s="85"/>
      <c r="HJG37" s="85"/>
      <c r="HJH37" s="85"/>
      <c r="HJI37" s="85"/>
      <c r="HJJ37" s="85"/>
      <c r="HJK37" s="85"/>
      <c r="HJL37" s="85"/>
      <c r="HJM37" s="85"/>
      <c r="HJN37" s="85"/>
      <c r="HJO37" s="85"/>
      <c r="HJP37" s="85"/>
      <c r="HJQ37" s="85"/>
      <c r="HJR37" s="85"/>
      <c r="HJS37" s="85"/>
      <c r="HJT37" s="85"/>
      <c r="HJU37" s="85"/>
      <c r="HJV37" s="85"/>
      <c r="HJW37" s="85"/>
      <c r="HJX37" s="85"/>
      <c r="HJY37" s="85"/>
      <c r="HJZ37" s="85"/>
      <c r="HKA37" s="85"/>
      <c r="HKB37" s="85"/>
      <c r="HKC37" s="85"/>
      <c r="HKD37" s="85"/>
      <c r="HKE37" s="85"/>
      <c r="HKF37" s="85"/>
      <c r="HKG37" s="85"/>
      <c r="HKH37" s="85"/>
      <c r="HKI37" s="85"/>
      <c r="HKJ37" s="85"/>
      <c r="HKK37" s="85"/>
      <c r="HKL37" s="85"/>
      <c r="HKM37" s="85"/>
      <c r="HKN37" s="85"/>
      <c r="HKO37" s="85"/>
      <c r="HKP37" s="85"/>
      <c r="HKQ37" s="85"/>
      <c r="HKR37" s="85"/>
      <c r="HKS37" s="85"/>
      <c r="HKT37" s="85"/>
      <c r="HKU37" s="85"/>
      <c r="HKV37" s="85"/>
      <c r="HKW37" s="85"/>
      <c r="HKX37" s="85"/>
      <c r="HKY37" s="85"/>
      <c r="HKZ37" s="85"/>
      <c r="HLA37" s="85"/>
      <c r="HLB37" s="85"/>
      <c r="HLC37" s="85"/>
      <c r="HLD37" s="85"/>
      <c r="HLE37" s="85"/>
      <c r="HLF37" s="85"/>
      <c r="HLG37" s="85"/>
      <c r="HLH37" s="85"/>
      <c r="HLI37" s="85"/>
      <c r="HLJ37" s="85"/>
      <c r="HLK37" s="85"/>
      <c r="HLL37" s="85"/>
      <c r="HLM37" s="85"/>
      <c r="HLN37" s="85"/>
      <c r="HLO37" s="85"/>
      <c r="HLP37" s="85"/>
      <c r="HLQ37" s="85"/>
      <c r="HLR37" s="85"/>
      <c r="HLS37" s="85"/>
      <c r="HLT37" s="85"/>
      <c r="HLU37" s="85"/>
      <c r="HLV37" s="85"/>
      <c r="HLW37" s="85"/>
      <c r="HLX37" s="85"/>
      <c r="HLY37" s="85"/>
      <c r="HLZ37" s="85"/>
      <c r="HMA37" s="85"/>
      <c r="HMB37" s="85"/>
      <c r="HMC37" s="85"/>
      <c r="HMD37" s="85"/>
      <c r="HME37" s="85"/>
      <c r="HMF37" s="85"/>
      <c r="HMG37" s="85"/>
      <c r="HMH37" s="85"/>
      <c r="HMI37" s="85"/>
      <c r="HMJ37" s="85"/>
      <c r="HMK37" s="85"/>
      <c r="HML37" s="85"/>
      <c r="HMM37" s="85"/>
      <c r="HMN37" s="85"/>
      <c r="HMO37" s="85"/>
      <c r="HMP37" s="85"/>
      <c r="HMQ37" s="85"/>
      <c r="HMR37" s="85"/>
      <c r="HMS37" s="85"/>
      <c r="HMT37" s="85"/>
      <c r="HMU37" s="85"/>
      <c r="HMV37" s="85"/>
      <c r="HMW37" s="85"/>
      <c r="HMX37" s="85"/>
      <c r="HMY37" s="85"/>
      <c r="HMZ37" s="85"/>
      <c r="HNA37" s="85"/>
      <c r="HNB37" s="85"/>
      <c r="HNC37" s="85"/>
      <c r="HND37" s="85"/>
      <c r="HNE37" s="85"/>
      <c r="HNF37" s="85"/>
      <c r="HNG37" s="85"/>
      <c r="HNH37" s="85"/>
      <c r="HNI37" s="85"/>
      <c r="HNJ37" s="85"/>
      <c r="HNK37" s="85"/>
      <c r="HNL37" s="85"/>
      <c r="HNM37" s="85"/>
      <c r="HNN37" s="85"/>
      <c r="HNO37" s="85"/>
      <c r="HNP37" s="85"/>
      <c r="HNQ37" s="85"/>
      <c r="HNR37" s="85"/>
      <c r="HNS37" s="85"/>
      <c r="HNT37" s="85"/>
      <c r="HNU37" s="85"/>
      <c r="HNV37" s="85"/>
      <c r="HNW37" s="85"/>
      <c r="HNX37" s="85"/>
      <c r="HNY37" s="85"/>
      <c r="HNZ37" s="85"/>
      <c r="HOA37" s="85"/>
      <c r="HOB37" s="85"/>
      <c r="HOC37" s="85"/>
      <c r="HOD37" s="85"/>
      <c r="HOE37" s="85"/>
      <c r="HOF37" s="85"/>
      <c r="HOG37" s="85"/>
      <c r="HOH37" s="85"/>
      <c r="HOI37" s="85"/>
      <c r="HOJ37" s="85"/>
      <c r="HOK37" s="85"/>
      <c r="HOL37" s="85"/>
      <c r="HOM37" s="85"/>
      <c r="HON37" s="85"/>
      <c r="HOO37" s="85"/>
      <c r="HOP37" s="85"/>
      <c r="HOQ37" s="85"/>
      <c r="HOR37" s="85"/>
      <c r="HOS37" s="85"/>
      <c r="HOT37" s="85"/>
      <c r="HOU37" s="85"/>
      <c r="HOV37" s="85"/>
      <c r="HOW37" s="85"/>
      <c r="HOX37" s="85"/>
      <c r="HOY37" s="85"/>
      <c r="HOZ37" s="85"/>
      <c r="HPA37" s="85"/>
      <c r="HPB37" s="85"/>
      <c r="HPC37" s="85"/>
      <c r="HPD37" s="85"/>
      <c r="HPE37" s="85"/>
      <c r="HPF37" s="85"/>
      <c r="HPG37" s="85"/>
      <c r="HPH37" s="85"/>
      <c r="HPI37" s="85"/>
      <c r="HPJ37" s="85"/>
      <c r="HPK37" s="85"/>
      <c r="HPL37" s="85"/>
      <c r="HPM37" s="85"/>
      <c r="HPN37" s="85"/>
      <c r="HPO37" s="85"/>
      <c r="HPP37" s="85"/>
      <c r="HPQ37" s="85"/>
      <c r="HPR37" s="85"/>
      <c r="HPS37" s="85"/>
      <c r="HPT37" s="85"/>
      <c r="HPU37" s="85"/>
      <c r="HPV37" s="85"/>
      <c r="HPW37" s="85"/>
      <c r="HPX37" s="85"/>
      <c r="HPY37" s="85"/>
      <c r="HPZ37" s="85"/>
      <c r="HQA37" s="85"/>
      <c r="HQB37" s="85"/>
      <c r="HQC37" s="85"/>
      <c r="HQD37" s="85"/>
      <c r="HQE37" s="85"/>
      <c r="HQF37" s="85"/>
      <c r="HQG37" s="85"/>
      <c r="HQH37" s="85"/>
      <c r="HQI37" s="85"/>
      <c r="HQJ37" s="85"/>
      <c r="HQK37" s="85"/>
      <c r="HQL37" s="85"/>
      <c r="HQM37" s="85"/>
      <c r="HQN37" s="85"/>
      <c r="HQO37" s="85"/>
      <c r="HQP37" s="85"/>
      <c r="HQQ37" s="85"/>
      <c r="HQR37" s="85"/>
      <c r="HQS37" s="85"/>
      <c r="HQT37" s="85"/>
      <c r="HQU37" s="85"/>
      <c r="HQV37" s="85"/>
      <c r="HQW37" s="85"/>
      <c r="HQX37" s="85"/>
      <c r="HQY37" s="85"/>
      <c r="HQZ37" s="85"/>
      <c r="HRA37" s="85"/>
      <c r="HRB37" s="85"/>
      <c r="HRC37" s="85"/>
      <c r="HRD37" s="85"/>
      <c r="HRE37" s="85"/>
      <c r="HRF37" s="85"/>
      <c r="HRG37" s="85"/>
      <c r="HRH37" s="85"/>
      <c r="HRI37" s="85"/>
      <c r="HRJ37" s="85"/>
      <c r="HRK37" s="85"/>
      <c r="HRL37" s="85"/>
      <c r="HRM37" s="85"/>
      <c r="HRN37" s="85"/>
      <c r="HRO37" s="85"/>
      <c r="HRP37" s="85"/>
      <c r="HRQ37" s="85"/>
      <c r="HRR37" s="85"/>
      <c r="HRS37" s="85"/>
      <c r="HRT37" s="85"/>
      <c r="HRU37" s="85"/>
      <c r="HRV37" s="85"/>
      <c r="HRW37" s="85"/>
      <c r="HRX37" s="85"/>
      <c r="HRY37" s="85"/>
      <c r="HRZ37" s="85"/>
      <c r="HSA37" s="85"/>
      <c r="HSB37" s="85"/>
      <c r="HSC37" s="85"/>
      <c r="HSD37" s="85"/>
      <c r="HSE37" s="85"/>
      <c r="HSF37" s="85"/>
      <c r="HSG37" s="85"/>
      <c r="HSH37" s="85"/>
      <c r="HSI37" s="85"/>
      <c r="HSJ37" s="85"/>
      <c r="HSK37" s="85"/>
      <c r="HSL37" s="85"/>
      <c r="HSM37" s="85"/>
      <c r="HSN37" s="85"/>
      <c r="HSO37" s="85"/>
      <c r="HSP37" s="85"/>
      <c r="HSQ37" s="85"/>
      <c r="HSR37" s="85"/>
      <c r="HSS37" s="85"/>
      <c r="HST37" s="85"/>
      <c r="HSU37" s="85"/>
      <c r="HSV37" s="85"/>
      <c r="HSW37" s="85"/>
      <c r="HSX37" s="85"/>
      <c r="HSY37" s="85"/>
      <c r="HSZ37" s="85"/>
      <c r="HTA37" s="85"/>
      <c r="HTB37" s="85"/>
      <c r="HTC37" s="85"/>
      <c r="HTD37" s="85"/>
      <c r="HTE37" s="85"/>
      <c r="HTF37" s="85"/>
      <c r="HTG37" s="85"/>
      <c r="HTH37" s="85"/>
      <c r="HTI37" s="85"/>
      <c r="HTJ37" s="85"/>
      <c r="HTK37" s="85"/>
      <c r="HTL37" s="85"/>
      <c r="HTM37" s="85"/>
      <c r="HTN37" s="85"/>
      <c r="HTO37" s="85"/>
      <c r="HTP37" s="85"/>
      <c r="HTQ37" s="85"/>
      <c r="HTR37" s="85"/>
      <c r="HTS37" s="85"/>
      <c r="HTT37" s="85"/>
      <c r="HTU37" s="85"/>
      <c r="HTV37" s="85"/>
      <c r="HTW37" s="85"/>
      <c r="HTX37" s="85"/>
      <c r="HTY37" s="85"/>
      <c r="HTZ37" s="85"/>
      <c r="HUA37" s="85"/>
      <c r="HUB37" s="85"/>
      <c r="HUC37" s="85"/>
      <c r="HUD37" s="85"/>
      <c r="HUE37" s="85"/>
      <c r="HUF37" s="85"/>
      <c r="HUG37" s="85"/>
      <c r="HUH37" s="85"/>
      <c r="HUI37" s="85"/>
      <c r="HUJ37" s="85"/>
      <c r="HUK37" s="85"/>
      <c r="HUL37" s="85"/>
      <c r="HUM37" s="85"/>
      <c r="HUN37" s="85"/>
      <c r="HUO37" s="85"/>
      <c r="HUP37" s="85"/>
      <c r="HUQ37" s="85"/>
      <c r="HUR37" s="85"/>
      <c r="HUS37" s="85"/>
      <c r="HUT37" s="85"/>
      <c r="HUU37" s="85"/>
      <c r="HUV37" s="85"/>
      <c r="HUW37" s="85"/>
      <c r="HUX37" s="85"/>
      <c r="HUY37" s="85"/>
      <c r="HUZ37" s="85"/>
      <c r="HVA37" s="85"/>
      <c r="HVB37" s="85"/>
      <c r="HVC37" s="85"/>
      <c r="HVD37" s="85"/>
      <c r="HVE37" s="85"/>
      <c r="HVF37" s="85"/>
      <c r="HVG37" s="85"/>
      <c r="HVH37" s="85"/>
      <c r="HVI37" s="85"/>
      <c r="HVJ37" s="85"/>
      <c r="HVK37" s="85"/>
      <c r="HVL37" s="85"/>
      <c r="HVM37" s="85"/>
      <c r="HVN37" s="85"/>
      <c r="HVO37" s="85"/>
      <c r="HVP37" s="85"/>
      <c r="HVQ37" s="85"/>
      <c r="HVR37" s="85"/>
      <c r="HVS37" s="85"/>
      <c r="HVT37" s="85"/>
      <c r="HVU37" s="85"/>
      <c r="HVV37" s="85"/>
      <c r="HVW37" s="85"/>
      <c r="HVX37" s="85"/>
      <c r="HVY37" s="85"/>
      <c r="HVZ37" s="85"/>
      <c r="HWA37" s="85"/>
      <c r="HWB37" s="85"/>
      <c r="HWC37" s="85"/>
      <c r="HWD37" s="85"/>
      <c r="HWE37" s="85"/>
      <c r="HWF37" s="85"/>
      <c r="HWG37" s="85"/>
      <c r="HWH37" s="85"/>
      <c r="HWI37" s="85"/>
      <c r="HWJ37" s="85"/>
      <c r="HWK37" s="85"/>
      <c r="HWL37" s="85"/>
      <c r="HWM37" s="85"/>
      <c r="HWN37" s="85"/>
      <c r="HWO37" s="85"/>
      <c r="HWP37" s="85"/>
      <c r="HWQ37" s="85"/>
      <c r="HWR37" s="85"/>
      <c r="HWS37" s="85"/>
      <c r="HWT37" s="85"/>
      <c r="HWU37" s="85"/>
      <c r="HWV37" s="85"/>
      <c r="HWW37" s="85"/>
      <c r="HWX37" s="85"/>
      <c r="HWY37" s="85"/>
      <c r="HWZ37" s="85"/>
      <c r="HXA37" s="85"/>
      <c r="HXB37" s="85"/>
      <c r="HXC37" s="85"/>
      <c r="HXD37" s="85"/>
      <c r="HXE37" s="85"/>
      <c r="HXF37" s="85"/>
      <c r="HXG37" s="85"/>
      <c r="HXH37" s="85"/>
      <c r="HXI37" s="85"/>
      <c r="HXJ37" s="85"/>
      <c r="HXK37" s="85"/>
      <c r="HXL37" s="85"/>
      <c r="HXM37" s="85"/>
      <c r="HXN37" s="85"/>
      <c r="HXO37" s="85"/>
      <c r="HXP37" s="85"/>
      <c r="HXQ37" s="85"/>
      <c r="HXR37" s="85"/>
      <c r="HXS37" s="85"/>
      <c r="HXT37" s="85"/>
      <c r="HXU37" s="85"/>
      <c r="HXV37" s="85"/>
      <c r="HXW37" s="85"/>
      <c r="HXX37" s="85"/>
      <c r="HXY37" s="85"/>
      <c r="HXZ37" s="85"/>
      <c r="HYA37" s="85"/>
      <c r="HYB37" s="85"/>
      <c r="HYC37" s="85"/>
      <c r="HYD37" s="85"/>
      <c r="HYE37" s="85"/>
      <c r="HYF37" s="85"/>
      <c r="HYG37" s="85"/>
      <c r="HYH37" s="85"/>
      <c r="HYI37" s="85"/>
      <c r="HYJ37" s="85"/>
      <c r="HYK37" s="85"/>
      <c r="HYL37" s="85"/>
      <c r="HYM37" s="85"/>
      <c r="HYN37" s="85"/>
      <c r="HYO37" s="85"/>
      <c r="HYP37" s="85"/>
      <c r="HYQ37" s="85"/>
      <c r="HYR37" s="85"/>
      <c r="HYS37" s="85"/>
      <c r="HYT37" s="85"/>
      <c r="HYU37" s="85"/>
      <c r="HYV37" s="85"/>
      <c r="HYW37" s="85"/>
      <c r="HYX37" s="85"/>
      <c r="HYY37" s="85"/>
      <c r="HYZ37" s="85"/>
      <c r="HZA37" s="85"/>
      <c r="HZB37" s="85"/>
      <c r="HZC37" s="85"/>
      <c r="HZD37" s="85"/>
      <c r="HZE37" s="85"/>
      <c r="HZF37" s="85"/>
      <c r="HZG37" s="85"/>
      <c r="HZH37" s="85"/>
      <c r="HZI37" s="85"/>
      <c r="HZJ37" s="85"/>
      <c r="HZK37" s="85"/>
      <c r="HZL37" s="85"/>
      <c r="HZM37" s="85"/>
      <c r="HZN37" s="85"/>
      <c r="HZO37" s="85"/>
      <c r="HZP37" s="85"/>
      <c r="HZQ37" s="85"/>
      <c r="HZR37" s="85"/>
      <c r="HZS37" s="85"/>
      <c r="HZT37" s="85"/>
      <c r="HZU37" s="85"/>
      <c r="HZV37" s="85"/>
      <c r="HZW37" s="85"/>
      <c r="HZX37" s="85"/>
      <c r="HZY37" s="85"/>
      <c r="HZZ37" s="85"/>
      <c r="IAA37" s="85"/>
      <c r="IAB37" s="85"/>
      <c r="IAC37" s="85"/>
      <c r="IAD37" s="85"/>
      <c r="IAE37" s="85"/>
      <c r="IAF37" s="85"/>
      <c r="IAG37" s="85"/>
      <c r="IAH37" s="85"/>
      <c r="IAI37" s="85"/>
      <c r="IAJ37" s="85"/>
      <c r="IAK37" s="85"/>
      <c r="IAL37" s="85"/>
      <c r="IAM37" s="85"/>
      <c r="IAN37" s="85"/>
      <c r="IAO37" s="85"/>
      <c r="IAP37" s="85"/>
      <c r="IAQ37" s="85"/>
      <c r="IAR37" s="85"/>
      <c r="IAS37" s="85"/>
      <c r="IAT37" s="85"/>
      <c r="IAU37" s="85"/>
      <c r="IAV37" s="85"/>
      <c r="IAW37" s="85"/>
      <c r="IAX37" s="85"/>
      <c r="IAY37" s="85"/>
      <c r="IAZ37" s="85"/>
      <c r="IBA37" s="85"/>
      <c r="IBB37" s="85"/>
      <c r="IBC37" s="85"/>
      <c r="IBD37" s="85"/>
      <c r="IBE37" s="85"/>
      <c r="IBF37" s="85"/>
      <c r="IBG37" s="85"/>
      <c r="IBH37" s="85"/>
      <c r="IBI37" s="85"/>
      <c r="IBJ37" s="85"/>
      <c r="IBK37" s="85"/>
      <c r="IBL37" s="85"/>
      <c r="IBM37" s="85"/>
      <c r="IBN37" s="85"/>
      <c r="IBO37" s="85"/>
      <c r="IBP37" s="85"/>
      <c r="IBQ37" s="85"/>
      <c r="IBR37" s="85"/>
      <c r="IBS37" s="85"/>
      <c r="IBT37" s="85"/>
      <c r="IBU37" s="85"/>
      <c r="IBV37" s="85"/>
      <c r="IBW37" s="85"/>
      <c r="IBX37" s="85"/>
      <c r="IBY37" s="85"/>
      <c r="IBZ37" s="85"/>
      <c r="ICA37" s="85"/>
      <c r="ICB37" s="85"/>
      <c r="ICC37" s="85"/>
      <c r="ICD37" s="85"/>
      <c r="ICE37" s="85"/>
      <c r="ICF37" s="85"/>
      <c r="ICG37" s="85"/>
      <c r="ICH37" s="85"/>
      <c r="ICI37" s="85"/>
      <c r="ICJ37" s="85"/>
      <c r="ICK37" s="85"/>
      <c r="ICL37" s="85"/>
      <c r="ICM37" s="85"/>
      <c r="ICN37" s="85"/>
      <c r="ICO37" s="85"/>
      <c r="ICP37" s="85"/>
      <c r="ICQ37" s="85"/>
      <c r="ICR37" s="85"/>
      <c r="ICS37" s="85"/>
      <c r="ICT37" s="85"/>
      <c r="ICU37" s="85"/>
      <c r="ICV37" s="85"/>
      <c r="ICW37" s="85"/>
      <c r="ICX37" s="85"/>
      <c r="ICY37" s="85"/>
      <c r="ICZ37" s="85"/>
      <c r="IDA37" s="85"/>
      <c r="IDB37" s="85"/>
      <c r="IDC37" s="85"/>
      <c r="IDD37" s="85"/>
      <c r="IDE37" s="85"/>
      <c r="IDF37" s="85"/>
      <c r="IDG37" s="85"/>
      <c r="IDH37" s="85"/>
      <c r="IDI37" s="85"/>
      <c r="IDJ37" s="85"/>
      <c r="IDK37" s="85"/>
      <c r="IDL37" s="85"/>
      <c r="IDM37" s="85"/>
      <c r="IDN37" s="85"/>
      <c r="IDO37" s="85"/>
      <c r="IDP37" s="85"/>
      <c r="IDQ37" s="85"/>
      <c r="IDR37" s="85"/>
      <c r="IDS37" s="85"/>
      <c r="IDT37" s="85"/>
      <c r="IDU37" s="85"/>
      <c r="IDV37" s="85"/>
      <c r="IDW37" s="85"/>
      <c r="IDX37" s="85"/>
      <c r="IDY37" s="85"/>
      <c r="IDZ37" s="85"/>
      <c r="IEA37" s="85"/>
      <c r="IEB37" s="85"/>
      <c r="IEC37" s="85"/>
      <c r="IED37" s="85"/>
      <c r="IEE37" s="85"/>
      <c r="IEF37" s="85"/>
      <c r="IEG37" s="85"/>
      <c r="IEH37" s="85"/>
      <c r="IEI37" s="85"/>
      <c r="IEJ37" s="85"/>
      <c r="IEK37" s="85"/>
      <c r="IEL37" s="85"/>
      <c r="IEM37" s="85"/>
      <c r="IEN37" s="85"/>
      <c r="IEO37" s="85"/>
      <c r="IEP37" s="85"/>
      <c r="IEQ37" s="85"/>
      <c r="IER37" s="85"/>
      <c r="IES37" s="85"/>
      <c r="IET37" s="85"/>
      <c r="IEU37" s="85"/>
      <c r="IEV37" s="85"/>
      <c r="IEW37" s="85"/>
      <c r="IEX37" s="85"/>
      <c r="IEY37" s="85"/>
      <c r="IEZ37" s="85"/>
      <c r="IFA37" s="85"/>
      <c r="IFB37" s="85"/>
      <c r="IFC37" s="85"/>
      <c r="IFD37" s="85"/>
      <c r="IFE37" s="85"/>
      <c r="IFF37" s="85"/>
      <c r="IFG37" s="85"/>
      <c r="IFH37" s="85"/>
      <c r="IFI37" s="85"/>
      <c r="IFJ37" s="85"/>
      <c r="IFK37" s="85"/>
      <c r="IFL37" s="85"/>
      <c r="IFM37" s="85"/>
      <c r="IFN37" s="85"/>
      <c r="IFO37" s="85"/>
      <c r="IFP37" s="85"/>
      <c r="IFQ37" s="85"/>
      <c r="IFR37" s="85"/>
      <c r="IFS37" s="85"/>
      <c r="IFT37" s="85"/>
      <c r="IFU37" s="85"/>
      <c r="IFV37" s="85"/>
      <c r="IFW37" s="85"/>
      <c r="IFX37" s="85"/>
      <c r="IFY37" s="85"/>
      <c r="IFZ37" s="85"/>
      <c r="IGA37" s="85"/>
      <c r="IGB37" s="85"/>
      <c r="IGC37" s="85"/>
      <c r="IGD37" s="85"/>
      <c r="IGE37" s="85"/>
      <c r="IGF37" s="85"/>
      <c r="IGG37" s="85"/>
      <c r="IGH37" s="85"/>
      <c r="IGI37" s="85"/>
      <c r="IGJ37" s="85"/>
      <c r="IGK37" s="85"/>
      <c r="IGL37" s="85"/>
      <c r="IGM37" s="85"/>
      <c r="IGN37" s="85"/>
      <c r="IGO37" s="85"/>
      <c r="IGP37" s="85"/>
      <c r="IGQ37" s="85"/>
      <c r="IGR37" s="85"/>
      <c r="IGS37" s="85"/>
      <c r="IGT37" s="85"/>
      <c r="IGU37" s="85"/>
      <c r="IGV37" s="85"/>
      <c r="IGW37" s="85"/>
      <c r="IGX37" s="85"/>
      <c r="IGY37" s="85"/>
      <c r="IGZ37" s="85"/>
      <c r="IHA37" s="85"/>
      <c r="IHB37" s="85"/>
      <c r="IHC37" s="85"/>
      <c r="IHD37" s="85"/>
      <c r="IHE37" s="85"/>
      <c r="IHF37" s="85"/>
      <c r="IHG37" s="85"/>
      <c r="IHH37" s="85"/>
      <c r="IHI37" s="85"/>
      <c r="IHJ37" s="85"/>
      <c r="IHK37" s="85"/>
      <c r="IHL37" s="85"/>
      <c r="IHM37" s="85"/>
      <c r="IHN37" s="85"/>
      <c r="IHO37" s="85"/>
      <c r="IHP37" s="85"/>
      <c r="IHQ37" s="85"/>
      <c r="IHR37" s="85"/>
      <c r="IHS37" s="85"/>
      <c r="IHT37" s="85"/>
      <c r="IHU37" s="85"/>
      <c r="IHV37" s="85"/>
      <c r="IHW37" s="85"/>
      <c r="IHX37" s="85"/>
      <c r="IHY37" s="85"/>
      <c r="IHZ37" s="85"/>
      <c r="IIA37" s="85"/>
      <c r="IIB37" s="85"/>
      <c r="IIC37" s="85"/>
      <c r="IID37" s="85"/>
      <c r="IIE37" s="85"/>
      <c r="IIF37" s="85"/>
      <c r="IIG37" s="85"/>
      <c r="IIH37" s="85"/>
      <c r="III37" s="85"/>
      <c r="IIJ37" s="85"/>
      <c r="IIK37" s="85"/>
      <c r="IIL37" s="85"/>
      <c r="IIM37" s="85"/>
      <c r="IIN37" s="85"/>
      <c r="IIO37" s="85"/>
      <c r="IIP37" s="85"/>
      <c r="IIQ37" s="85"/>
      <c r="IIR37" s="85"/>
      <c r="IIS37" s="85"/>
      <c r="IIT37" s="85"/>
      <c r="IIU37" s="85"/>
      <c r="IIV37" s="85"/>
      <c r="IIW37" s="85"/>
      <c r="IIX37" s="85"/>
      <c r="IIY37" s="85"/>
      <c r="IIZ37" s="85"/>
      <c r="IJA37" s="85"/>
      <c r="IJB37" s="85"/>
      <c r="IJC37" s="85"/>
      <c r="IJD37" s="85"/>
      <c r="IJE37" s="85"/>
      <c r="IJF37" s="85"/>
      <c r="IJG37" s="85"/>
      <c r="IJH37" s="85"/>
      <c r="IJI37" s="85"/>
      <c r="IJJ37" s="85"/>
      <c r="IJK37" s="85"/>
      <c r="IJL37" s="85"/>
      <c r="IJM37" s="85"/>
      <c r="IJN37" s="85"/>
      <c r="IJO37" s="85"/>
      <c r="IJP37" s="85"/>
      <c r="IJQ37" s="85"/>
      <c r="IJR37" s="85"/>
      <c r="IJS37" s="85"/>
      <c r="IJT37" s="85"/>
      <c r="IJU37" s="85"/>
      <c r="IJV37" s="85"/>
      <c r="IJW37" s="85"/>
      <c r="IJX37" s="85"/>
      <c r="IJY37" s="85"/>
      <c r="IJZ37" s="85"/>
      <c r="IKA37" s="85"/>
      <c r="IKB37" s="85"/>
      <c r="IKC37" s="85"/>
      <c r="IKD37" s="85"/>
      <c r="IKE37" s="85"/>
      <c r="IKF37" s="85"/>
      <c r="IKG37" s="85"/>
      <c r="IKH37" s="85"/>
      <c r="IKI37" s="85"/>
      <c r="IKJ37" s="85"/>
      <c r="IKK37" s="85"/>
      <c r="IKL37" s="85"/>
      <c r="IKM37" s="85"/>
      <c r="IKN37" s="85"/>
      <c r="IKO37" s="85"/>
      <c r="IKP37" s="85"/>
      <c r="IKQ37" s="85"/>
      <c r="IKR37" s="85"/>
      <c r="IKS37" s="85"/>
      <c r="IKT37" s="85"/>
      <c r="IKU37" s="85"/>
      <c r="IKV37" s="85"/>
      <c r="IKW37" s="85"/>
      <c r="IKX37" s="85"/>
      <c r="IKY37" s="85"/>
      <c r="IKZ37" s="85"/>
      <c r="ILA37" s="85"/>
      <c r="ILB37" s="85"/>
      <c r="ILC37" s="85"/>
      <c r="ILD37" s="85"/>
      <c r="ILE37" s="85"/>
      <c r="ILF37" s="85"/>
      <c r="ILG37" s="85"/>
      <c r="ILH37" s="85"/>
      <c r="ILI37" s="85"/>
      <c r="ILJ37" s="85"/>
      <c r="ILK37" s="85"/>
      <c r="ILL37" s="85"/>
      <c r="ILM37" s="85"/>
      <c r="ILN37" s="85"/>
      <c r="ILO37" s="85"/>
      <c r="ILP37" s="85"/>
      <c r="ILQ37" s="85"/>
      <c r="ILR37" s="85"/>
      <c r="ILS37" s="85"/>
      <c r="ILT37" s="85"/>
      <c r="ILU37" s="85"/>
      <c r="ILV37" s="85"/>
      <c r="ILW37" s="85"/>
      <c r="ILX37" s="85"/>
      <c r="ILY37" s="85"/>
      <c r="ILZ37" s="85"/>
      <c r="IMA37" s="85"/>
      <c r="IMB37" s="85"/>
      <c r="IMC37" s="85"/>
      <c r="IMD37" s="85"/>
      <c r="IME37" s="85"/>
      <c r="IMF37" s="85"/>
      <c r="IMG37" s="85"/>
      <c r="IMH37" s="85"/>
      <c r="IMI37" s="85"/>
      <c r="IMJ37" s="85"/>
      <c r="IMK37" s="85"/>
      <c r="IML37" s="85"/>
      <c r="IMM37" s="85"/>
      <c r="IMN37" s="85"/>
      <c r="IMO37" s="85"/>
      <c r="IMP37" s="85"/>
      <c r="IMQ37" s="85"/>
      <c r="IMR37" s="85"/>
      <c r="IMS37" s="85"/>
      <c r="IMT37" s="85"/>
      <c r="IMU37" s="85"/>
      <c r="IMV37" s="85"/>
      <c r="IMW37" s="85"/>
      <c r="IMX37" s="85"/>
      <c r="IMY37" s="85"/>
      <c r="IMZ37" s="85"/>
      <c r="INA37" s="85"/>
      <c r="INB37" s="85"/>
      <c r="INC37" s="85"/>
      <c r="IND37" s="85"/>
      <c r="INE37" s="85"/>
      <c r="INF37" s="85"/>
      <c r="ING37" s="85"/>
      <c r="INH37" s="85"/>
      <c r="INI37" s="85"/>
      <c r="INJ37" s="85"/>
      <c r="INK37" s="85"/>
      <c r="INL37" s="85"/>
      <c r="INM37" s="85"/>
      <c r="INN37" s="85"/>
      <c r="INO37" s="85"/>
      <c r="INP37" s="85"/>
      <c r="INQ37" s="85"/>
      <c r="INR37" s="85"/>
      <c r="INS37" s="85"/>
      <c r="INT37" s="85"/>
      <c r="INU37" s="85"/>
      <c r="INV37" s="85"/>
      <c r="INW37" s="85"/>
      <c r="INX37" s="85"/>
      <c r="INY37" s="85"/>
      <c r="INZ37" s="85"/>
      <c r="IOA37" s="85"/>
      <c r="IOB37" s="85"/>
      <c r="IOC37" s="85"/>
      <c r="IOD37" s="85"/>
      <c r="IOE37" s="85"/>
      <c r="IOF37" s="85"/>
      <c r="IOG37" s="85"/>
      <c r="IOH37" s="85"/>
      <c r="IOI37" s="85"/>
      <c r="IOJ37" s="85"/>
      <c r="IOK37" s="85"/>
      <c r="IOL37" s="85"/>
      <c r="IOM37" s="85"/>
      <c r="ION37" s="85"/>
      <c r="IOO37" s="85"/>
      <c r="IOP37" s="85"/>
      <c r="IOQ37" s="85"/>
      <c r="IOR37" s="85"/>
      <c r="IOS37" s="85"/>
      <c r="IOT37" s="85"/>
      <c r="IOU37" s="85"/>
      <c r="IOV37" s="85"/>
      <c r="IOW37" s="85"/>
      <c r="IOX37" s="85"/>
      <c r="IOY37" s="85"/>
      <c r="IOZ37" s="85"/>
      <c r="IPA37" s="85"/>
      <c r="IPB37" s="85"/>
      <c r="IPC37" s="85"/>
      <c r="IPD37" s="85"/>
      <c r="IPE37" s="85"/>
      <c r="IPF37" s="85"/>
      <c r="IPG37" s="85"/>
      <c r="IPH37" s="85"/>
      <c r="IPI37" s="85"/>
      <c r="IPJ37" s="85"/>
      <c r="IPK37" s="85"/>
      <c r="IPL37" s="85"/>
      <c r="IPM37" s="85"/>
      <c r="IPN37" s="85"/>
      <c r="IPO37" s="85"/>
      <c r="IPP37" s="85"/>
      <c r="IPQ37" s="85"/>
      <c r="IPR37" s="85"/>
      <c r="IPS37" s="85"/>
      <c r="IPT37" s="85"/>
      <c r="IPU37" s="85"/>
      <c r="IPV37" s="85"/>
      <c r="IPW37" s="85"/>
      <c r="IPX37" s="85"/>
      <c r="IPY37" s="85"/>
      <c r="IPZ37" s="85"/>
      <c r="IQA37" s="85"/>
      <c r="IQB37" s="85"/>
      <c r="IQC37" s="85"/>
      <c r="IQD37" s="85"/>
      <c r="IQE37" s="85"/>
      <c r="IQF37" s="85"/>
      <c r="IQG37" s="85"/>
      <c r="IQH37" s="85"/>
      <c r="IQI37" s="85"/>
      <c r="IQJ37" s="85"/>
      <c r="IQK37" s="85"/>
      <c r="IQL37" s="85"/>
      <c r="IQM37" s="85"/>
      <c r="IQN37" s="85"/>
      <c r="IQO37" s="85"/>
      <c r="IQP37" s="85"/>
      <c r="IQQ37" s="85"/>
      <c r="IQR37" s="85"/>
      <c r="IQS37" s="85"/>
      <c r="IQT37" s="85"/>
      <c r="IQU37" s="85"/>
      <c r="IQV37" s="85"/>
      <c r="IQW37" s="85"/>
      <c r="IQX37" s="85"/>
      <c r="IQY37" s="85"/>
      <c r="IQZ37" s="85"/>
      <c r="IRA37" s="85"/>
      <c r="IRB37" s="85"/>
      <c r="IRC37" s="85"/>
      <c r="IRD37" s="85"/>
      <c r="IRE37" s="85"/>
      <c r="IRF37" s="85"/>
      <c r="IRG37" s="85"/>
      <c r="IRH37" s="85"/>
      <c r="IRI37" s="85"/>
      <c r="IRJ37" s="85"/>
      <c r="IRK37" s="85"/>
      <c r="IRL37" s="85"/>
      <c r="IRM37" s="85"/>
      <c r="IRN37" s="85"/>
      <c r="IRO37" s="85"/>
      <c r="IRP37" s="85"/>
      <c r="IRQ37" s="85"/>
      <c r="IRR37" s="85"/>
      <c r="IRS37" s="85"/>
      <c r="IRT37" s="85"/>
      <c r="IRU37" s="85"/>
      <c r="IRV37" s="85"/>
      <c r="IRW37" s="85"/>
      <c r="IRX37" s="85"/>
      <c r="IRY37" s="85"/>
      <c r="IRZ37" s="85"/>
      <c r="ISA37" s="85"/>
      <c r="ISB37" s="85"/>
      <c r="ISC37" s="85"/>
      <c r="ISD37" s="85"/>
      <c r="ISE37" s="85"/>
      <c r="ISF37" s="85"/>
      <c r="ISG37" s="85"/>
      <c r="ISH37" s="85"/>
      <c r="ISI37" s="85"/>
      <c r="ISJ37" s="85"/>
      <c r="ISK37" s="85"/>
      <c r="ISL37" s="85"/>
      <c r="ISM37" s="85"/>
      <c r="ISN37" s="85"/>
      <c r="ISO37" s="85"/>
      <c r="ISP37" s="85"/>
      <c r="ISQ37" s="85"/>
      <c r="ISR37" s="85"/>
      <c r="ISS37" s="85"/>
      <c r="IST37" s="85"/>
      <c r="ISU37" s="85"/>
      <c r="ISV37" s="85"/>
      <c r="ISW37" s="85"/>
      <c r="ISX37" s="85"/>
      <c r="ISY37" s="85"/>
      <c r="ISZ37" s="85"/>
      <c r="ITA37" s="85"/>
      <c r="ITB37" s="85"/>
      <c r="ITC37" s="85"/>
      <c r="ITD37" s="85"/>
      <c r="ITE37" s="85"/>
      <c r="ITF37" s="85"/>
      <c r="ITG37" s="85"/>
      <c r="ITH37" s="85"/>
      <c r="ITI37" s="85"/>
      <c r="ITJ37" s="85"/>
      <c r="ITK37" s="85"/>
      <c r="ITL37" s="85"/>
      <c r="ITM37" s="85"/>
      <c r="ITN37" s="85"/>
      <c r="ITO37" s="85"/>
      <c r="ITP37" s="85"/>
      <c r="ITQ37" s="85"/>
      <c r="ITR37" s="85"/>
      <c r="ITS37" s="85"/>
      <c r="ITT37" s="85"/>
      <c r="ITU37" s="85"/>
      <c r="ITV37" s="85"/>
      <c r="ITW37" s="85"/>
      <c r="ITX37" s="85"/>
      <c r="ITY37" s="85"/>
      <c r="ITZ37" s="85"/>
      <c r="IUA37" s="85"/>
      <c r="IUB37" s="85"/>
      <c r="IUC37" s="85"/>
      <c r="IUD37" s="85"/>
      <c r="IUE37" s="85"/>
      <c r="IUF37" s="85"/>
      <c r="IUG37" s="85"/>
      <c r="IUH37" s="85"/>
      <c r="IUI37" s="85"/>
      <c r="IUJ37" s="85"/>
      <c r="IUK37" s="85"/>
      <c r="IUL37" s="85"/>
      <c r="IUM37" s="85"/>
      <c r="IUN37" s="85"/>
      <c r="IUO37" s="85"/>
      <c r="IUP37" s="85"/>
      <c r="IUQ37" s="85"/>
      <c r="IUR37" s="85"/>
      <c r="IUS37" s="85"/>
      <c r="IUT37" s="85"/>
      <c r="IUU37" s="85"/>
      <c r="IUV37" s="85"/>
      <c r="IUW37" s="85"/>
      <c r="IUX37" s="85"/>
      <c r="IUY37" s="85"/>
      <c r="IUZ37" s="85"/>
      <c r="IVA37" s="85"/>
      <c r="IVB37" s="85"/>
      <c r="IVC37" s="85"/>
      <c r="IVD37" s="85"/>
      <c r="IVE37" s="85"/>
      <c r="IVF37" s="85"/>
      <c r="IVG37" s="85"/>
      <c r="IVH37" s="85"/>
      <c r="IVI37" s="85"/>
      <c r="IVJ37" s="85"/>
      <c r="IVK37" s="85"/>
      <c r="IVL37" s="85"/>
      <c r="IVM37" s="85"/>
      <c r="IVN37" s="85"/>
      <c r="IVO37" s="85"/>
      <c r="IVP37" s="85"/>
      <c r="IVQ37" s="85"/>
      <c r="IVR37" s="85"/>
      <c r="IVS37" s="85"/>
      <c r="IVT37" s="85"/>
      <c r="IVU37" s="85"/>
      <c r="IVV37" s="85"/>
      <c r="IVW37" s="85"/>
      <c r="IVX37" s="85"/>
      <c r="IVY37" s="85"/>
      <c r="IVZ37" s="85"/>
      <c r="IWA37" s="85"/>
      <c r="IWB37" s="85"/>
      <c r="IWC37" s="85"/>
      <c r="IWD37" s="85"/>
      <c r="IWE37" s="85"/>
      <c r="IWF37" s="85"/>
      <c r="IWG37" s="85"/>
      <c r="IWH37" s="85"/>
      <c r="IWI37" s="85"/>
      <c r="IWJ37" s="85"/>
      <c r="IWK37" s="85"/>
      <c r="IWL37" s="85"/>
      <c r="IWM37" s="85"/>
      <c r="IWN37" s="85"/>
      <c r="IWO37" s="85"/>
      <c r="IWP37" s="85"/>
      <c r="IWQ37" s="85"/>
      <c r="IWR37" s="85"/>
      <c r="IWS37" s="85"/>
      <c r="IWT37" s="85"/>
      <c r="IWU37" s="85"/>
      <c r="IWV37" s="85"/>
      <c r="IWW37" s="85"/>
      <c r="IWX37" s="85"/>
      <c r="IWY37" s="85"/>
      <c r="IWZ37" s="85"/>
      <c r="IXA37" s="85"/>
      <c r="IXB37" s="85"/>
      <c r="IXC37" s="85"/>
      <c r="IXD37" s="85"/>
      <c r="IXE37" s="85"/>
      <c r="IXF37" s="85"/>
      <c r="IXG37" s="85"/>
      <c r="IXH37" s="85"/>
      <c r="IXI37" s="85"/>
      <c r="IXJ37" s="85"/>
      <c r="IXK37" s="85"/>
      <c r="IXL37" s="85"/>
      <c r="IXM37" s="85"/>
      <c r="IXN37" s="85"/>
      <c r="IXO37" s="85"/>
      <c r="IXP37" s="85"/>
      <c r="IXQ37" s="85"/>
      <c r="IXR37" s="85"/>
      <c r="IXS37" s="85"/>
      <c r="IXT37" s="85"/>
      <c r="IXU37" s="85"/>
      <c r="IXV37" s="85"/>
      <c r="IXW37" s="85"/>
      <c r="IXX37" s="85"/>
      <c r="IXY37" s="85"/>
      <c r="IXZ37" s="85"/>
      <c r="IYA37" s="85"/>
      <c r="IYB37" s="85"/>
      <c r="IYC37" s="85"/>
      <c r="IYD37" s="85"/>
      <c r="IYE37" s="85"/>
      <c r="IYF37" s="85"/>
      <c r="IYG37" s="85"/>
      <c r="IYH37" s="85"/>
      <c r="IYI37" s="85"/>
      <c r="IYJ37" s="85"/>
      <c r="IYK37" s="85"/>
      <c r="IYL37" s="85"/>
      <c r="IYM37" s="85"/>
      <c r="IYN37" s="85"/>
      <c r="IYO37" s="85"/>
      <c r="IYP37" s="85"/>
      <c r="IYQ37" s="85"/>
      <c r="IYR37" s="85"/>
      <c r="IYS37" s="85"/>
      <c r="IYT37" s="85"/>
      <c r="IYU37" s="85"/>
      <c r="IYV37" s="85"/>
      <c r="IYW37" s="85"/>
      <c r="IYX37" s="85"/>
      <c r="IYY37" s="85"/>
      <c r="IYZ37" s="85"/>
      <c r="IZA37" s="85"/>
      <c r="IZB37" s="85"/>
      <c r="IZC37" s="85"/>
      <c r="IZD37" s="85"/>
      <c r="IZE37" s="85"/>
      <c r="IZF37" s="85"/>
      <c r="IZG37" s="85"/>
      <c r="IZH37" s="85"/>
      <c r="IZI37" s="85"/>
      <c r="IZJ37" s="85"/>
      <c r="IZK37" s="85"/>
      <c r="IZL37" s="85"/>
      <c r="IZM37" s="85"/>
      <c r="IZN37" s="85"/>
      <c r="IZO37" s="85"/>
      <c r="IZP37" s="85"/>
      <c r="IZQ37" s="85"/>
      <c r="IZR37" s="85"/>
      <c r="IZS37" s="85"/>
      <c r="IZT37" s="85"/>
      <c r="IZU37" s="85"/>
      <c r="IZV37" s="85"/>
      <c r="IZW37" s="85"/>
      <c r="IZX37" s="85"/>
      <c r="IZY37" s="85"/>
      <c r="IZZ37" s="85"/>
      <c r="JAA37" s="85"/>
      <c r="JAB37" s="85"/>
      <c r="JAC37" s="85"/>
      <c r="JAD37" s="85"/>
      <c r="JAE37" s="85"/>
      <c r="JAF37" s="85"/>
      <c r="JAG37" s="85"/>
      <c r="JAH37" s="85"/>
      <c r="JAI37" s="85"/>
      <c r="JAJ37" s="85"/>
      <c r="JAK37" s="85"/>
      <c r="JAL37" s="85"/>
      <c r="JAM37" s="85"/>
      <c r="JAN37" s="85"/>
      <c r="JAO37" s="85"/>
      <c r="JAP37" s="85"/>
      <c r="JAQ37" s="85"/>
      <c r="JAR37" s="85"/>
      <c r="JAS37" s="85"/>
      <c r="JAT37" s="85"/>
      <c r="JAU37" s="85"/>
      <c r="JAV37" s="85"/>
      <c r="JAW37" s="85"/>
      <c r="JAX37" s="85"/>
      <c r="JAY37" s="85"/>
      <c r="JAZ37" s="85"/>
      <c r="JBA37" s="85"/>
      <c r="JBB37" s="85"/>
      <c r="JBC37" s="85"/>
      <c r="JBD37" s="85"/>
      <c r="JBE37" s="85"/>
      <c r="JBF37" s="85"/>
      <c r="JBG37" s="85"/>
      <c r="JBH37" s="85"/>
      <c r="JBI37" s="85"/>
      <c r="JBJ37" s="85"/>
      <c r="JBK37" s="85"/>
      <c r="JBL37" s="85"/>
      <c r="JBM37" s="85"/>
      <c r="JBN37" s="85"/>
      <c r="JBO37" s="85"/>
      <c r="JBP37" s="85"/>
      <c r="JBQ37" s="85"/>
      <c r="JBR37" s="85"/>
      <c r="JBS37" s="85"/>
      <c r="JBT37" s="85"/>
      <c r="JBU37" s="85"/>
      <c r="JBV37" s="85"/>
      <c r="JBW37" s="85"/>
      <c r="JBX37" s="85"/>
      <c r="JBY37" s="85"/>
      <c r="JBZ37" s="85"/>
      <c r="JCA37" s="85"/>
      <c r="JCB37" s="85"/>
      <c r="JCC37" s="85"/>
      <c r="JCD37" s="85"/>
      <c r="JCE37" s="85"/>
      <c r="JCF37" s="85"/>
      <c r="JCG37" s="85"/>
      <c r="JCH37" s="85"/>
      <c r="JCI37" s="85"/>
      <c r="JCJ37" s="85"/>
      <c r="JCK37" s="85"/>
      <c r="JCL37" s="85"/>
      <c r="JCM37" s="85"/>
      <c r="JCN37" s="85"/>
      <c r="JCO37" s="85"/>
      <c r="JCP37" s="85"/>
      <c r="JCQ37" s="85"/>
      <c r="JCR37" s="85"/>
      <c r="JCS37" s="85"/>
      <c r="JCT37" s="85"/>
      <c r="JCU37" s="85"/>
      <c r="JCV37" s="85"/>
      <c r="JCW37" s="85"/>
      <c r="JCX37" s="85"/>
      <c r="JCY37" s="85"/>
      <c r="JCZ37" s="85"/>
      <c r="JDA37" s="85"/>
      <c r="JDB37" s="85"/>
      <c r="JDC37" s="85"/>
      <c r="JDD37" s="85"/>
      <c r="JDE37" s="85"/>
      <c r="JDF37" s="85"/>
      <c r="JDG37" s="85"/>
      <c r="JDH37" s="85"/>
      <c r="JDI37" s="85"/>
      <c r="JDJ37" s="85"/>
      <c r="JDK37" s="85"/>
      <c r="JDL37" s="85"/>
      <c r="JDM37" s="85"/>
      <c r="JDN37" s="85"/>
      <c r="JDO37" s="85"/>
      <c r="JDP37" s="85"/>
      <c r="JDQ37" s="85"/>
      <c r="JDR37" s="85"/>
      <c r="JDS37" s="85"/>
      <c r="JDT37" s="85"/>
      <c r="JDU37" s="85"/>
      <c r="JDV37" s="85"/>
      <c r="JDW37" s="85"/>
      <c r="JDX37" s="85"/>
      <c r="JDY37" s="85"/>
      <c r="JDZ37" s="85"/>
      <c r="JEA37" s="85"/>
      <c r="JEB37" s="85"/>
      <c r="JEC37" s="85"/>
      <c r="JED37" s="85"/>
      <c r="JEE37" s="85"/>
      <c r="JEF37" s="85"/>
      <c r="JEG37" s="85"/>
      <c r="JEH37" s="85"/>
      <c r="JEI37" s="85"/>
      <c r="JEJ37" s="85"/>
      <c r="JEK37" s="85"/>
      <c r="JEL37" s="85"/>
      <c r="JEM37" s="85"/>
      <c r="JEN37" s="85"/>
      <c r="JEO37" s="85"/>
      <c r="JEP37" s="85"/>
      <c r="JEQ37" s="85"/>
      <c r="JER37" s="85"/>
      <c r="JES37" s="85"/>
      <c r="JET37" s="85"/>
      <c r="JEU37" s="85"/>
      <c r="JEV37" s="85"/>
      <c r="JEW37" s="85"/>
      <c r="JEX37" s="85"/>
      <c r="JEY37" s="85"/>
      <c r="JEZ37" s="85"/>
      <c r="JFA37" s="85"/>
      <c r="JFB37" s="85"/>
      <c r="JFC37" s="85"/>
      <c r="JFD37" s="85"/>
      <c r="JFE37" s="85"/>
      <c r="JFF37" s="85"/>
      <c r="JFG37" s="85"/>
      <c r="JFH37" s="85"/>
      <c r="JFI37" s="85"/>
      <c r="JFJ37" s="85"/>
      <c r="JFK37" s="85"/>
      <c r="JFL37" s="85"/>
      <c r="JFM37" s="85"/>
      <c r="JFN37" s="85"/>
      <c r="JFO37" s="85"/>
      <c r="JFP37" s="85"/>
      <c r="JFQ37" s="85"/>
      <c r="JFR37" s="85"/>
      <c r="JFS37" s="85"/>
      <c r="JFT37" s="85"/>
      <c r="JFU37" s="85"/>
      <c r="JFV37" s="85"/>
      <c r="JFW37" s="85"/>
      <c r="JFX37" s="85"/>
      <c r="JFY37" s="85"/>
      <c r="JFZ37" s="85"/>
      <c r="JGA37" s="85"/>
      <c r="JGB37" s="85"/>
      <c r="JGC37" s="85"/>
      <c r="JGD37" s="85"/>
      <c r="JGE37" s="85"/>
      <c r="JGF37" s="85"/>
      <c r="JGG37" s="85"/>
      <c r="JGH37" s="85"/>
      <c r="JGI37" s="85"/>
      <c r="JGJ37" s="85"/>
      <c r="JGK37" s="85"/>
      <c r="JGL37" s="85"/>
      <c r="JGM37" s="85"/>
      <c r="JGN37" s="85"/>
      <c r="JGO37" s="85"/>
      <c r="JGP37" s="85"/>
      <c r="JGQ37" s="85"/>
      <c r="JGR37" s="85"/>
      <c r="JGS37" s="85"/>
      <c r="JGT37" s="85"/>
      <c r="JGU37" s="85"/>
      <c r="JGV37" s="85"/>
      <c r="JGW37" s="85"/>
      <c r="JGX37" s="85"/>
      <c r="JGY37" s="85"/>
      <c r="JGZ37" s="85"/>
      <c r="JHA37" s="85"/>
      <c r="JHB37" s="85"/>
      <c r="JHC37" s="85"/>
      <c r="JHD37" s="85"/>
      <c r="JHE37" s="85"/>
      <c r="JHF37" s="85"/>
      <c r="JHG37" s="85"/>
      <c r="JHH37" s="85"/>
      <c r="JHI37" s="85"/>
      <c r="JHJ37" s="85"/>
      <c r="JHK37" s="85"/>
      <c r="JHL37" s="85"/>
      <c r="JHM37" s="85"/>
      <c r="JHN37" s="85"/>
      <c r="JHO37" s="85"/>
      <c r="JHP37" s="85"/>
      <c r="JHQ37" s="85"/>
      <c r="JHR37" s="85"/>
      <c r="JHS37" s="85"/>
      <c r="JHT37" s="85"/>
      <c r="JHU37" s="85"/>
      <c r="JHV37" s="85"/>
      <c r="JHW37" s="85"/>
      <c r="JHX37" s="85"/>
      <c r="JHY37" s="85"/>
      <c r="JHZ37" s="85"/>
      <c r="JIA37" s="85"/>
      <c r="JIB37" s="85"/>
      <c r="JIC37" s="85"/>
      <c r="JID37" s="85"/>
      <c r="JIE37" s="85"/>
      <c r="JIF37" s="85"/>
      <c r="JIG37" s="85"/>
      <c r="JIH37" s="85"/>
      <c r="JII37" s="85"/>
      <c r="JIJ37" s="85"/>
      <c r="JIK37" s="85"/>
      <c r="JIL37" s="85"/>
      <c r="JIM37" s="85"/>
      <c r="JIN37" s="85"/>
      <c r="JIO37" s="85"/>
      <c r="JIP37" s="85"/>
      <c r="JIQ37" s="85"/>
      <c r="JIR37" s="85"/>
      <c r="JIS37" s="85"/>
      <c r="JIT37" s="85"/>
      <c r="JIU37" s="85"/>
      <c r="JIV37" s="85"/>
      <c r="JIW37" s="85"/>
      <c r="JIX37" s="85"/>
      <c r="JIY37" s="85"/>
      <c r="JIZ37" s="85"/>
      <c r="JJA37" s="85"/>
      <c r="JJB37" s="85"/>
      <c r="JJC37" s="85"/>
      <c r="JJD37" s="85"/>
      <c r="JJE37" s="85"/>
      <c r="JJF37" s="85"/>
      <c r="JJG37" s="85"/>
      <c r="JJH37" s="85"/>
      <c r="JJI37" s="85"/>
      <c r="JJJ37" s="85"/>
      <c r="JJK37" s="85"/>
      <c r="JJL37" s="85"/>
      <c r="JJM37" s="85"/>
      <c r="JJN37" s="85"/>
      <c r="JJO37" s="85"/>
      <c r="JJP37" s="85"/>
      <c r="JJQ37" s="85"/>
      <c r="JJR37" s="85"/>
      <c r="JJS37" s="85"/>
      <c r="JJT37" s="85"/>
      <c r="JJU37" s="85"/>
      <c r="JJV37" s="85"/>
      <c r="JJW37" s="85"/>
      <c r="JJX37" s="85"/>
      <c r="JJY37" s="85"/>
      <c r="JJZ37" s="85"/>
      <c r="JKA37" s="85"/>
      <c r="JKB37" s="85"/>
      <c r="JKC37" s="85"/>
      <c r="JKD37" s="85"/>
      <c r="JKE37" s="85"/>
      <c r="JKF37" s="85"/>
      <c r="JKG37" s="85"/>
      <c r="JKH37" s="85"/>
      <c r="JKI37" s="85"/>
      <c r="JKJ37" s="85"/>
      <c r="JKK37" s="85"/>
      <c r="JKL37" s="85"/>
      <c r="JKM37" s="85"/>
      <c r="JKN37" s="85"/>
      <c r="JKO37" s="85"/>
      <c r="JKP37" s="85"/>
      <c r="JKQ37" s="85"/>
      <c r="JKR37" s="85"/>
      <c r="JKS37" s="85"/>
      <c r="JKT37" s="85"/>
      <c r="JKU37" s="85"/>
      <c r="JKV37" s="85"/>
      <c r="JKW37" s="85"/>
      <c r="JKX37" s="85"/>
      <c r="JKY37" s="85"/>
      <c r="JKZ37" s="85"/>
      <c r="JLA37" s="85"/>
      <c r="JLB37" s="85"/>
      <c r="JLC37" s="85"/>
      <c r="JLD37" s="85"/>
      <c r="JLE37" s="85"/>
      <c r="JLF37" s="85"/>
      <c r="JLG37" s="85"/>
      <c r="JLH37" s="85"/>
      <c r="JLI37" s="85"/>
      <c r="JLJ37" s="85"/>
      <c r="JLK37" s="85"/>
      <c r="JLL37" s="85"/>
      <c r="JLM37" s="85"/>
      <c r="JLN37" s="85"/>
      <c r="JLO37" s="85"/>
      <c r="JLP37" s="85"/>
      <c r="JLQ37" s="85"/>
      <c r="JLR37" s="85"/>
      <c r="JLS37" s="85"/>
      <c r="JLT37" s="85"/>
      <c r="JLU37" s="85"/>
      <c r="JLV37" s="85"/>
      <c r="JLW37" s="85"/>
      <c r="JLX37" s="85"/>
      <c r="JLY37" s="85"/>
      <c r="JLZ37" s="85"/>
      <c r="JMA37" s="85"/>
      <c r="JMB37" s="85"/>
      <c r="JMC37" s="85"/>
      <c r="JMD37" s="85"/>
      <c r="JME37" s="85"/>
      <c r="JMF37" s="85"/>
      <c r="JMG37" s="85"/>
      <c r="JMH37" s="85"/>
      <c r="JMI37" s="85"/>
      <c r="JMJ37" s="85"/>
      <c r="JMK37" s="85"/>
      <c r="JML37" s="85"/>
      <c r="JMM37" s="85"/>
      <c r="JMN37" s="85"/>
      <c r="JMO37" s="85"/>
      <c r="JMP37" s="85"/>
      <c r="JMQ37" s="85"/>
      <c r="JMR37" s="85"/>
      <c r="JMS37" s="85"/>
      <c r="JMT37" s="85"/>
      <c r="JMU37" s="85"/>
      <c r="JMV37" s="85"/>
      <c r="JMW37" s="85"/>
      <c r="JMX37" s="85"/>
      <c r="JMY37" s="85"/>
      <c r="JMZ37" s="85"/>
      <c r="JNA37" s="85"/>
      <c r="JNB37" s="85"/>
      <c r="JNC37" s="85"/>
      <c r="JND37" s="85"/>
      <c r="JNE37" s="85"/>
      <c r="JNF37" s="85"/>
      <c r="JNG37" s="85"/>
      <c r="JNH37" s="85"/>
      <c r="JNI37" s="85"/>
      <c r="JNJ37" s="85"/>
      <c r="JNK37" s="85"/>
      <c r="JNL37" s="85"/>
      <c r="JNM37" s="85"/>
      <c r="JNN37" s="85"/>
      <c r="JNO37" s="85"/>
      <c r="JNP37" s="85"/>
      <c r="JNQ37" s="85"/>
      <c r="JNR37" s="85"/>
      <c r="JNS37" s="85"/>
      <c r="JNT37" s="85"/>
      <c r="JNU37" s="85"/>
      <c r="JNV37" s="85"/>
      <c r="JNW37" s="85"/>
      <c r="JNX37" s="85"/>
      <c r="JNY37" s="85"/>
      <c r="JNZ37" s="85"/>
      <c r="JOA37" s="85"/>
      <c r="JOB37" s="85"/>
      <c r="JOC37" s="85"/>
      <c r="JOD37" s="85"/>
      <c r="JOE37" s="85"/>
      <c r="JOF37" s="85"/>
      <c r="JOG37" s="85"/>
      <c r="JOH37" s="85"/>
      <c r="JOI37" s="85"/>
      <c r="JOJ37" s="85"/>
      <c r="JOK37" s="85"/>
      <c r="JOL37" s="85"/>
      <c r="JOM37" s="85"/>
      <c r="JON37" s="85"/>
      <c r="JOO37" s="85"/>
      <c r="JOP37" s="85"/>
      <c r="JOQ37" s="85"/>
      <c r="JOR37" s="85"/>
      <c r="JOS37" s="85"/>
      <c r="JOT37" s="85"/>
      <c r="JOU37" s="85"/>
      <c r="JOV37" s="85"/>
      <c r="JOW37" s="85"/>
      <c r="JOX37" s="85"/>
      <c r="JOY37" s="85"/>
      <c r="JOZ37" s="85"/>
      <c r="JPA37" s="85"/>
      <c r="JPB37" s="85"/>
      <c r="JPC37" s="85"/>
      <c r="JPD37" s="85"/>
      <c r="JPE37" s="85"/>
      <c r="JPF37" s="85"/>
      <c r="JPG37" s="85"/>
      <c r="JPH37" s="85"/>
      <c r="JPI37" s="85"/>
      <c r="JPJ37" s="85"/>
      <c r="JPK37" s="85"/>
      <c r="JPL37" s="85"/>
      <c r="JPM37" s="85"/>
      <c r="JPN37" s="85"/>
      <c r="JPO37" s="85"/>
      <c r="JPP37" s="85"/>
      <c r="JPQ37" s="85"/>
      <c r="JPR37" s="85"/>
      <c r="JPS37" s="85"/>
      <c r="JPT37" s="85"/>
      <c r="JPU37" s="85"/>
      <c r="JPV37" s="85"/>
      <c r="JPW37" s="85"/>
      <c r="JPX37" s="85"/>
      <c r="JPY37" s="85"/>
      <c r="JPZ37" s="85"/>
      <c r="JQA37" s="85"/>
      <c r="JQB37" s="85"/>
      <c r="JQC37" s="85"/>
      <c r="JQD37" s="85"/>
      <c r="JQE37" s="85"/>
      <c r="JQF37" s="85"/>
      <c r="JQG37" s="85"/>
      <c r="JQH37" s="85"/>
      <c r="JQI37" s="85"/>
      <c r="JQJ37" s="85"/>
      <c r="JQK37" s="85"/>
      <c r="JQL37" s="85"/>
      <c r="JQM37" s="85"/>
      <c r="JQN37" s="85"/>
      <c r="JQO37" s="85"/>
      <c r="JQP37" s="85"/>
      <c r="JQQ37" s="85"/>
      <c r="JQR37" s="85"/>
      <c r="JQS37" s="85"/>
      <c r="JQT37" s="85"/>
      <c r="JQU37" s="85"/>
      <c r="JQV37" s="85"/>
      <c r="JQW37" s="85"/>
      <c r="JQX37" s="85"/>
      <c r="JQY37" s="85"/>
      <c r="JQZ37" s="85"/>
      <c r="JRA37" s="85"/>
      <c r="JRB37" s="85"/>
      <c r="JRC37" s="85"/>
      <c r="JRD37" s="85"/>
      <c r="JRE37" s="85"/>
      <c r="JRF37" s="85"/>
      <c r="JRG37" s="85"/>
      <c r="JRH37" s="85"/>
      <c r="JRI37" s="85"/>
      <c r="JRJ37" s="85"/>
      <c r="JRK37" s="85"/>
      <c r="JRL37" s="85"/>
      <c r="JRM37" s="85"/>
      <c r="JRN37" s="85"/>
      <c r="JRO37" s="85"/>
      <c r="JRP37" s="85"/>
      <c r="JRQ37" s="85"/>
      <c r="JRR37" s="85"/>
      <c r="JRS37" s="85"/>
      <c r="JRT37" s="85"/>
      <c r="JRU37" s="85"/>
      <c r="JRV37" s="85"/>
      <c r="JRW37" s="85"/>
      <c r="JRX37" s="85"/>
      <c r="JRY37" s="85"/>
      <c r="JRZ37" s="85"/>
      <c r="JSA37" s="85"/>
      <c r="JSB37" s="85"/>
      <c r="JSC37" s="85"/>
      <c r="JSD37" s="85"/>
      <c r="JSE37" s="85"/>
      <c r="JSF37" s="85"/>
      <c r="JSG37" s="85"/>
      <c r="JSH37" s="85"/>
      <c r="JSI37" s="85"/>
      <c r="JSJ37" s="85"/>
      <c r="JSK37" s="85"/>
      <c r="JSL37" s="85"/>
      <c r="JSM37" s="85"/>
      <c r="JSN37" s="85"/>
      <c r="JSO37" s="85"/>
      <c r="JSP37" s="85"/>
      <c r="JSQ37" s="85"/>
      <c r="JSR37" s="85"/>
      <c r="JSS37" s="85"/>
      <c r="JST37" s="85"/>
      <c r="JSU37" s="85"/>
      <c r="JSV37" s="85"/>
      <c r="JSW37" s="85"/>
      <c r="JSX37" s="85"/>
      <c r="JSY37" s="85"/>
      <c r="JSZ37" s="85"/>
      <c r="JTA37" s="85"/>
      <c r="JTB37" s="85"/>
      <c r="JTC37" s="85"/>
      <c r="JTD37" s="85"/>
      <c r="JTE37" s="85"/>
      <c r="JTF37" s="85"/>
      <c r="JTG37" s="85"/>
      <c r="JTH37" s="85"/>
      <c r="JTI37" s="85"/>
      <c r="JTJ37" s="85"/>
      <c r="JTK37" s="85"/>
      <c r="JTL37" s="85"/>
      <c r="JTM37" s="85"/>
      <c r="JTN37" s="85"/>
      <c r="JTO37" s="85"/>
      <c r="JTP37" s="85"/>
      <c r="JTQ37" s="85"/>
      <c r="JTR37" s="85"/>
      <c r="JTS37" s="85"/>
      <c r="JTT37" s="85"/>
      <c r="JTU37" s="85"/>
      <c r="JTV37" s="85"/>
      <c r="JTW37" s="85"/>
      <c r="JTX37" s="85"/>
      <c r="JTY37" s="85"/>
      <c r="JTZ37" s="85"/>
      <c r="JUA37" s="85"/>
      <c r="JUB37" s="85"/>
      <c r="JUC37" s="85"/>
      <c r="JUD37" s="85"/>
      <c r="JUE37" s="85"/>
      <c r="JUF37" s="85"/>
      <c r="JUG37" s="85"/>
      <c r="JUH37" s="85"/>
      <c r="JUI37" s="85"/>
      <c r="JUJ37" s="85"/>
      <c r="JUK37" s="85"/>
      <c r="JUL37" s="85"/>
      <c r="JUM37" s="85"/>
      <c r="JUN37" s="85"/>
      <c r="JUO37" s="85"/>
      <c r="JUP37" s="85"/>
      <c r="JUQ37" s="85"/>
      <c r="JUR37" s="85"/>
      <c r="JUS37" s="85"/>
      <c r="JUT37" s="85"/>
      <c r="JUU37" s="85"/>
      <c r="JUV37" s="85"/>
      <c r="JUW37" s="85"/>
      <c r="JUX37" s="85"/>
      <c r="JUY37" s="85"/>
      <c r="JUZ37" s="85"/>
      <c r="JVA37" s="85"/>
      <c r="JVB37" s="85"/>
      <c r="JVC37" s="85"/>
      <c r="JVD37" s="85"/>
      <c r="JVE37" s="85"/>
      <c r="JVF37" s="85"/>
      <c r="JVG37" s="85"/>
      <c r="JVH37" s="85"/>
      <c r="JVI37" s="85"/>
      <c r="JVJ37" s="85"/>
      <c r="JVK37" s="85"/>
      <c r="JVL37" s="85"/>
      <c r="JVM37" s="85"/>
      <c r="JVN37" s="85"/>
      <c r="JVO37" s="85"/>
      <c r="JVP37" s="85"/>
      <c r="JVQ37" s="85"/>
      <c r="JVR37" s="85"/>
      <c r="JVS37" s="85"/>
      <c r="JVT37" s="85"/>
      <c r="JVU37" s="85"/>
      <c r="JVV37" s="85"/>
      <c r="JVW37" s="85"/>
      <c r="JVX37" s="85"/>
      <c r="JVY37" s="85"/>
      <c r="JVZ37" s="85"/>
      <c r="JWA37" s="85"/>
      <c r="JWB37" s="85"/>
      <c r="JWC37" s="85"/>
      <c r="JWD37" s="85"/>
      <c r="JWE37" s="85"/>
      <c r="JWF37" s="85"/>
      <c r="JWG37" s="85"/>
      <c r="JWH37" s="85"/>
      <c r="JWI37" s="85"/>
      <c r="JWJ37" s="85"/>
      <c r="JWK37" s="85"/>
      <c r="JWL37" s="85"/>
      <c r="JWM37" s="85"/>
      <c r="JWN37" s="85"/>
      <c r="JWO37" s="85"/>
      <c r="JWP37" s="85"/>
      <c r="JWQ37" s="85"/>
      <c r="JWR37" s="85"/>
      <c r="JWS37" s="85"/>
      <c r="JWT37" s="85"/>
      <c r="JWU37" s="85"/>
      <c r="JWV37" s="85"/>
      <c r="JWW37" s="85"/>
      <c r="JWX37" s="85"/>
      <c r="JWY37" s="85"/>
      <c r="JWZ37" s="85"/>
      <c r="JXA37" s="85"/>
      <c r="JXB37" s="85"/>
      <c r="JXC37" s="85"/>
      <c r="JXD37" s="85"/>
      <c r="JXE37" s="85"/>
      <c r="JXF37" s="85"/>
      <c r="JXG37" s="85"/>
      <c r="JXH37" s="85"/>
      <c r="JXI37" s="85"/>
      <c r="JXJ37" s="85"/>
      <c r="JXK37" s="85"/>
      <c r="JXL37" s="85"/>
      <c r="JXM37" s="85"/>
      <c r="JXN37" s="85"/>
      <c r="JXO37" s="85"/>
      <c r="JXP37" s="85"/>
      <c r="JXQ37" s="85"/>
      <c r="JXR37" s="85"/>
      <c r="JXS37" s="85"/>
      <c r="JXT37" s="85"/>
      <c r="JXU37" s="85"/>
      <c r="JXV37" s="85"/>
      <c r="JXW37" s="85"/>
      <c r="JXX37" s="85"/>
      <c r="JXY37" s="85"/>
      <c r="JXZ37" s="85"/>
      <c r="JYA37" s="85"/>
      <c r="JYB37" s="85"/>
      <c r="JYC37" s="85"/>
      <c r="JYD37" s="85"/>
      <c r="JYE37" s="85"/>
      <c r="JYF37" s="85"/>
      <c r="JYG37" s="85"/>
      <c r="JYH37" s="85"/>
      <c r="JYI37" s="85"/>
      <c r="JYJ37" s="85"/>
      <c r="JYK37" s="85"/>
      <c r="JYL37" s="85"/>
      <c r="JYM37" s="85"/>
      <c r="JYN37" s="85"/>
      <c r="JYO37" s="85"/>
      <c r="JYP37" s="85"/>
      <c r="JYQ37" s="85"/>
      <c r="JYR37" s="85"/>
      <c r="JYS37" s="85"/>
      <c r="JYT37" s="85"/>
      <c r="JYU37" s="85"/>
      <c r="JYV37" s="85"/>
      <c r="JYW37" s="85"/>
      <c r="JYX37" s="85"/>
      <c r="JYY37" s="85"/>
      <c r="JYZ37" s="85"/>
      <c r="JZA37" s="85"/>
      <c r="JZB37" s="85"/>
      <c r="JZC37" s="85"/>
      <c r="JZD37" s="85"/>
      <c r="JZE37" s="85"/>
      <c r="JZF37" s="85"/>
      <c r="JZG37" s="85"/>
      <c r="JZH37" s="85"/>
      <c r="JZI37" s="85"/>
      <c r="JZJ37" s="85"/>
      <c r="JZK37" s="85"/>
      <c r="JZL37" s="85"/>
      <c r="JZM37" s="85"/>
      <c r="JZN37" s="85"/>
      <c r="JZO37" s="85"/>
      <c r="JZP37" s="85"/>
      <c r="JZQ37" s="85"/>
      <c r="JZR37" s="85"/>
      <c r="JZS37" s="85"/>
      <c r="JZT37" s="85"/>
      <c r="JZU37" s="85"/>
      <c r="JZV37" s="85"/>
      <c r="JZW37" s="85"/>
      <c r="JZX37" s="85"/>
      <c r="JZY37" s="85"/>
      <c r="JZZ37" s="85"/>
      <c r="KAA37" s="85"/>
      <c r="KAB37" s="85"/>
      <c r="KAC37" s="85"/>
      <c r="KAD37" s="85"/>
      <c r="KAE37" s="85"/>
      <c r="KAF37" s="85"/>
      <c r="KAG37" s="85"/>
      <c r="KAH37" s="85"/>
      <c r="KAI37" s="85"/>
      <c r="KAJ37" s="85"/>
      <c r="KAK37" s="85"/>
      <c r="KAL37" s="85"/>
      <c r="KAM37" s="85"/>
      <c r="KAN37" s="85"/>
      <c r="KAO37" s="85"/>
      <c r="KAP37" s="85"/>
      <c r="KAQ37" s="85"/>
      <c r="KAR37" s="85"/>
      <c r="KAS37" s="85"/>
      <c r="KAT37" s="85"/>
      <c r="KAU37" s="85"/>
      <c r="KAV37" s="85"/>
      <c r="KAW37" s="85"/>
      <c r="KAX37" s="85"/>
      <c r="KAY37" s="85"/>
      <c r="KAZ37" s="85"/>
      <c r="KBA37" s="85"/>
      <c r="KBB37" s="85"/>
      <c r="KBC37" s="85"/>
      <c r="KBD37" s="85"/>
      <c r="KBE37" s="85"/>
      <c r="KBF37" s="85"/>
      <c r="KBG37" s="85"/>
      <c r="KBH37" s="85"/>
      <c r="KBI37" s="85"/>
      <c r="KBJ37" s="85"/>
      <c r="KBK37" s="85"/>
      <c r="KBL37" s="85"/>
      <c r="KBM37" s="85"/>
      <c r="KBN37" s="85"/>
      <c r="KBO37" s="85"/>
      <c r="KBP37" s="85"/>
      <c r="KBQ37" s="85"/>
      <c r="KBR37" s="85"/>
      <c r="KBS37" s="85"/>
      <c r="KBT37" s="85"/>
      <c r="KBU37" s="85"/>
      <c r="KBV37" s="85"/>
      <c r="KBW37" s="85"/>
      <c r="KBX37" s="85"/>
      <c r="KBY37" s="85"/>
      <c r="KBZ37" s="85"/>
      <c r="KCA37" s="85"/>
      <c r="KCB37" s="85"/>
      <c r="KCC37" s="85"/>
      <c r="KCD37" s="85"/>
      <c r="KCE37" s="85"/>
      <c r="KCF37" s="85"/>
      <c r="KCG37" s="85"/>
      <c r="KCH37" s="85"/>
      <c r="KCI37" s="85"/>
      <c r="KCJ37" s="85"/>
      <c r="KCK37" s="85"/>
      <c r="KCL37" s="85"/>
      <c r="KCM37" s="85"/>
      <c r="KCN37" s="85"/>
      <c r="KCO37" s="85"/>
      <c r="KCP37" s="85"/>
      <c r="KCQ37" s="85"/>
      <c r="KCR37" s="85"/>
      <c r="KCS37" s="85"/>
      <c r="KCT37" s="85"/>
      <c r="KCU37" s="85"/>
      <c r="KCV37" s="85"/>
      <c r="KCW37" s="85"/>
      <c r="KCX37" s="85"/>
      <c r="KCY37" s="85"/>
      <c r="KCZ37" s="85"/>
      <c r="KDA37" s="85"/>
      <c r="KDB37" s="85"/>
      <c r="KDC37" s="85"/>
      <c r="KDD37" s="85"/>
      <c r="KDE37" s="85"/>
      <c r="KDF37" s="85"/>
      <c r="KDG37" s="85"/>
      <c r="KDH37" s="85"/>
      <c r="KDI37" s="85"/>
      <c r="KDJ37" s="85"/>
      <c r="KDK37" s="85"/>
      <c r="KDL37" s="85"/>
      <c r="KDM37" s="85"/>
      <c r="KDN37" s="85"/>
      <c r="KDO37" s="85"/>
      <c r="KDP37" s="85"/>
      <c r="KDQ37" s="85"/>
      <c r="KDR37" s="85"/>
      <c r="KDS37" s="85"/>
      <c r="KDT37" s="85"/>
      <c r="KDU37" s="85"/>
      <c r="KDV37" s="85"/>
      <c r="KDW37" s="85"/>
      <c r="KDX37" s="85"/>
      <c r="KDY37" s="85"/>
      <c r="KDZ37" s="85"/>
      <c r="KEA37" s="85"/>
      <c r="KEB37" s="85"/>
      <c r="KEC37" s="85"/>
      <c r="KED37" s="85"/>
      <c r="KEE37" s="85"/>
      <c r="KEF37" s="85"/>
      <c r="KEG37" s="85"/>
      <c r="KEH37" s="85"/>
      <c r="KEI37" s="85"/>
      <c r="KEJ37" s="85"/>
      <c r="KEK37" s="85"/>
      <c r="KEL37" s="85"/>
      <c r="KEM37" s="85"/>
      <c r="KEN37" s="85"/>
      <c r="KEO37" s="85"/>
      <c r="KEP37" s="85"/>
      <c r="KEQ37" s="85"/>
      <c r="KER37" s="85"/>
      <c r="KES37" s="85"/>
      <c r="KET37" s="85"/>
      <c r="KEU37" s="85"/>
      <c r="KEV37" s="85"/>
      <c r="KEW37" s="85"/>
      <c r="KEX37" s="85"/>
      <c r="KEY37" s="85"/>
      <c r="KEZ37" s="85"/>
      <c r="KFA37" s="85"/>
      <c r="KFB37" s="85"/>
      <c r="KFC37" s="85"/>
      <c r="KFD37" s="85"/>
      <c r="KFE37" s="85"/>
      <c r="KFF37" s="85"/>
      <c r="KFG37" s="85"/>
      <c r="KFH37" s="85"/>
      <c r="KFI37" s="85"/>
      <c r="KFJ37" s="85"/>
      <c r="KFK37" s="85"/>
      <c r="KFL37" s="85"/>
      <c r="KFM37" s="85"/>
      <c r="KFN37" s="85"/>
      <c r="KFO37" s="85"/>
      <c r="KFP37" s="85"/>
      <c r="KFQ37" s="85"/>
      <c r="KFR37" s="85"/>
      <c r="KFS37" s="85"/>
      <c r="KFT37" s="85"/>
      <c r="KFU37" s="85"/>
      <c r="KFV37" s="85"/>
      <c r="KFW37" s="85"/>
      <c r="KFX37" s="85"/>
      <c r="KFY37" s="85"/>
      <c r="KFZ37" s="85"/>
      <c r="KGA37" s="85"/>
      <c r="KGB37" s="85"/>
      <c r="KGC37" s="85"/>
      <c r="KGD37" s="85"/>
      <c r="KGE37" s="85"/>
      <c r="KGF37" s="85"/>
      <c r="KGG37" s="85"/>
      <c r="KGH37" s="85"/>
      <c r="KGI37" s="85"/>
      <c r="KGJ37" s="85"/>
      <c r="KGK37" s="85"/>
      <c r="KGL37" s="85"/>
      <c r="KGM37" s="85"/>
      <c r="KGN37" s="85"/>
      <c r="KGO37" s="85"/>
      <c r="KGP37" s="85"/>
      <c r="KGQ37" s="85"/>
      <c r="KGR37" s="85"/>
      <c r="KGS37" s="85"/>
      <c r="KGT37" s="85"/>
      <c r="KGU37" s="85"/>
      <c r="KGV37" s="85"/>
      <c r="KGW37" s="85"/>
      <c r="KGX37" s="85"/>
      <c r="KGY37" s="85"/>
      <c r="KGZ37" s="85"/>
      <c r="KHA37" s="85"/>
      <c r="KHB37" s="85"/>
      <c r="KHC37" s="85"/>
      <c r="KHD37" s="85"/>
      <c r="KHE37" s="85"/>
      <c r="KHF37" s="85"/>
      <c r="KHG37" s="85"/>
      <c r="KHH37" s="85"/>
      <c r="KHI37" s="85"/>
      <c r="KHJ37" s="85"/>
      <c r="KHK37" s="85"/>
      <c r="KHL37" s="85"/>
      <c r="KHM37" s="85"/>
      <c r="KHN37" s="85"/>
      <c r="KHO37" s="85"/>
      <c r="KHP37" s="85"/>
      <c r="KHQ37" s="85"/>
      <c r="KHR37" s="85"/>
      <c r="KHS37" s="85"/>
      <c r="KHT37" s="85"/>
      <c r="KHU37" s="85"/>
      <c r="KHV37" s="85"/>
      <c r="KHW37" s="85"/>
      <c r="KHX37" s="85"/>
      <c r="KHY37" s="85"/>
      <c r="KHZ37" s="85"/>
      <c r="KIA37" s="85"/>
      <c r="KIB37" s="85"/>
      <c r="KIC37" s="85"/>
      <c r="KID37" s="85"/>
      <c r="KIE37" s="85"/>
      <c r="KIF37" s="85"/>
      <c r="KIG37" s="85"/>
      <c r="KIH37" s="85"/>
      <c r="KII37" s="85"/>
      <c r="KIJ37" s="85"/>
      <c r="KIK37" s="85"/>
      <c r="KIL37" s="85"/>
      <c r="KIM37" s="85"/>
      <c r="KIN37" s="85"/>
      <c r="KIO37" s="85"/>
      <c r="KIP37" s="85"/>
      <c r="KIQ37" s="85"/>
      <c r="KIR37" s="85"/>
      <c r="KIS37" s="85"/>
      <c r="KIT37" s="85"/>
      <c r="KIU37" s="85"/>
      <c r="KIV37" s="85"/>
      <c r="KIW37" s="85"/>
      <c r="KIX37" s="85"/>
      <c r="KIY37" s="85"/>
      <c r="KIZ37" s="85"/>
      <c r="KJA37" s="85"/>
      <c r="KJB37" s="85"/>
      <c r="KJC37" s="85"/>
      <c r="KJD37" s="85"/>
      <c r="KJE37" s="85"/>
      <c r="KJF37" s="85"/>
      <c r="KJG37" s="85"/>
      <c r="KJH37" s="85"/>
      <c r="KJI37" s="85"/>
      <c r="KJJ37" s="85"/>
      <c r="KJK37" s="85"/>
      <c r="KJL37" s="85"/>
      <c r="KJM37" s="85"/>
      <c r="KJN37" s="85"/>
      <c r="KJO37" s="85"/>
      <c r="KJP37" s="85"/>
      <c r="KJQ37" s="85"/>
      <c r="KJR37" s="85"/>
      <c r="KJS37" s="85"/>
      <c r="KJT37" s="85"/>
      <c r="KJU37" s="85"/>
      <c r="KJV37" s="85"/>
      <c r="KJW37" s="85"/>
      <c r="KJX37" s="85"/>
      <c r="KJY37" s="85"/>
      <c r="KJZ37" s="85"/>
      <c r="KKA37" s="85"/>
      <c r="KKB37" s="85"/>
      <c r="KKC37" s="85"/>
      <c r="KKD37" s="85"/>
      <c r="KKE37" s="85"/>
      <c r="KKF37" s="85"/>
      <c r="KKG37" s="85"/>
      <c r="KKH37" s="85"/>
      <c r="KKI37" s="85"/>
      <c r="KKJ37" s="85"/>
      <c r="KKK37" s="85"/>
      <c r="KKL37" s="85"/>
      <c r="KKM37" s="85"/>
      <c r="KKN37" s="85"/>
      <c r="KKO37" s="85"/>
      <c r="KKP37" s="85"/>
      <c r="KKQ37" s="85"/>
      <c r="KKR37" s="85"/>
      <c r="KKS37" s="85"/>
      <c r="KKT37" s="85"/>
      <c r="KKU37" s="85"/>
      <c r="KKV37" s="85"/>
      <c r="KKW37" s="85"/>
      <c r="KKX37" s="85"/>
      <c r="KKY37" s="85"/>
      <c r="KKZ37" s="85"/>
      <c r="KLA37" s="85"/>
      <c r="KLB37" s="85"/>
      <c r="KLC37" s="85"/>
      <c r="KLD37" s="85"/>
      <c r="KLE37" s="85"/>
      <c r="KLF37" s="85"/>
      <c r="KLG37" s="85"/>
      <c r="KLH37" s="85"/>
      <c r="KLI37" s="85"/>
      <c r="KLJ37" s="85"/>
      <c r="KLK37" s="85"/>
      <c r="KLL37" s="85"/>
      <c r="KLM37" s="85"/>
      <c r="KLN37" s="85"/>
      <c r="KLO37" s="85"/>
      <c r="KLP37" s="85"/>
      <c r="KLQ37" s="85"/>
      <c r="KLR37" s="85"/>
      <c r="KLS37" s="85"/>
      <c r="KLT37" s="85"/>
      <c r="KLU37" s="85"/>
      <c r="KLV37" s="85"/>
      <c r="KLW37" s="85"/>
      <c r="KLX37" s="85"/>
      <c r="KLY37" s="85"/>
      <c r="KLZ37" s="85"/>
      <c r="KMA37" s="85"/>
      <c r="KMB37" s="85"/>
      <c r="KMC37" s="85"/>
      <c r="KMD37" s="85"/>
      <c r="KME37" s="85"/>
      <c r="KMF37" s="85"/>
      <c r="KMG37" s="85"/>
      <c r="KMH37" s="85"/>
      <c r="KMI37" s="85"/>
      <c r="KMJ37" s="85"/>
      <c r="KMK37" s="85"/>
      <c r="KML37" s="85"/>
      <c r="KMM37" s="85"/>
      <c r="KMN37" s="85"/>
      <c r="KMO37" s="85"/>
      <c r="KMP37" s="85"/>
      <c r="KMQ37" s="85"/>
      <c r="KMR37" s="85"/>
      <c r="KMS37" s="85"/>
      <c r="KMT37" s="85"/>
      <c r="KMU37" s="85"/>
      <c r="KMV37" s="85"/>
      <c r="KMW37" s="85"/>
      <c r="KMX37" s="85"/>
      <c r="KMY37" s="85"/>
      <c r="KMZ37" s="85"/>
      <c r="KNA37" s="85"/>
      <c r="KNB37" s="85"/>
      <c r="KNC37" s="85"/>
      <c r="KND37" s="85"/>
      <c r="KNE37" s="85"/>
      <c r="KNF37" s="85"/>
      <c r="KNG37" s="85"/>
      <c r="KNH37" s="85"/>
      <c r="KNI37" s="85"/>
      <c r="KNJ37" s="85"/>
      <c r="KNK37" s="85"/>
      <c r="KNL37" s="85"/>
      <c r="KNM37" s="85"/>
      <c r="KNN37" s="85"/>
      <c r="KNO37" s="85"/>
      <c r="KNP37" s="85"/>
      <c r="KNQ37" s="85"/>
      <c r="KNR37" s="85"/>
      <c r="KNS37" s="85"/>
      <c r="KNT37" s="85"/>
      <c r="KNU37" s="85"/>
      <c r="KNV37" s="85"/>
      <c r="KNW37" s="85"/>
      <c r="KNX37" s="85"/>
      <c r="KNY37" s="85"/>
      <c r="KNZ37" s="85"/>
      <c r="KOA37" s="85"/>
      <c r="KOB37" s="85"/>
      <c r="KOC37" s="85"/>
      <c r="KOD37" s="85"/>
      <c r="KOE37" s="85"/>
      <c r="KOF37" s="85"/>
      <c r="KOG37" s="85"/>
      <c r="KOH37" s="85"/>
      <c r="KOI37" s="85"/>
      <c r="KOJ37" s="85"/>
      <c r="KOK37" s="85"/>
      <c r="KOL37" s="85"/>
      <c r="KOM37" s="85"/>
      <c r="KON37" s="85"/>
      <c r="KOO37" s="85"/>
      <c r="KOP37" s="85"/>
      <c r="KOQ37" s="85"/>
      <c r="KOR37" s="85"/>
      <c r="KOS37" s="85"/>
      <c r="KOT37" s="85"/>
      <c r="KOU37" s="85"/>
      <c r="KOV37" s="85"/>
      <c r="KOW37" s="85"/>
      <c r="KOX37" s="85"/>
      <c r="KOY37" s="85"/>
      <c r="KOZ37" s="85"/>
      <c r="KPA37" s="85"/>
      <c r="KPB37" s="85"/>
      <c r="KPC37" s="85"/>
      <c r="KPD37" s="85"/>
      <c r="KPE37" s="85"/>
      <c r="KPF37" s="85"/>
      <c r="KPG37" s="85"/>
      <c r="KPH37" s="85"/>
      <c r="KPI37" s="85"/>
      <c r="KPJ37" s="85"/>
      <c r="KPK37" s="85"/>
      <c r="KPL37" s="85"/>
      <c r="KPM37" s="85"/>
      <c r="KPN37" s="85"/>
      <c r="KPO37" s="85"/>
      <c r="KPP37" s="85"/>
      <c r="KPQ37" s="85"/>
      <c r="KPR37" s="85"/>
      <c r="KPS37" s="85"/>
      <c r="KPT37" s="85"/>
      <c r="KPU37" s="85"/>
      <c r="KPV37" s="85"/>
      <c r="KPW37" s="85"/>
      <c r="KPX37" s="85"/>
      <c r="KPY37" s="85"/>
      <c r="KPZ37" s="85"/>
      <c r="KQA37" s="85"/>
      <c r="KQB37" s="85"/>
      <c r="KQC37" s="85"/>
      <c r="KQD37" s="85"/>
      <c r="KQE37" s="85"/>
      <c r="KQF37" s="85"/>
      <c r="KQG37" s="85"/>
      <c r="KQH37" s="85"/>
      <c r="KQI37" s="85"/>
      <c r="KQJ37" s="85"/>
      <c r="KQK37" s="85"/>
      <c r="KQL37" s="85"/>
      <c r="KQM37" s="85"/>
      <c r="KQN37" s="85"/>
      <c r="KQO37" s="85"/>
      <c r="KQP37" s="85"/>
      <c r="KQQ37" s="85"/>
      <c r="KQR37" s="85"/>
      <c r="KQS37" s="85"/>
      <c r="KQT37" s="85"/>
      <c r="KQU37" s="85"/>
      <c r="KQV37" s="85"/>
      <c r="KQW37" s="85"/>
      <c r="KQX37" s="85"/>
      <c r="KQY37" s="85"/>
      <c r="KQZ37" s="85"/>
      <c r="KRA37" s="85"/>
      <c r="KRB37" s="85"/>
      <c r="KRC37" s="85"/>
      <c r="KRD37" s="85"/>
      <c r="KRE37" s="85"/>
      <c r="KRF37" s="85"/>
      <c r="KRG37" s="85"/>
      <c r="KRH37" s="85"/>
      <c r="KRI37" s="85"/>
      <c r="KRJ37" s="85"/>
      <c r="KRK37" s="85"/>
      <c r="KRL37" s="85"/>
      <c r="KRM37" s="85"/>
      <c r="KRN37" s="85"/>
      <c r="KRO37" s="85"/>
      <c r="KRP37" s="85"/>
      <c r="KRQ37" s="85"/>
      <c r="KRR37" s="85"/>
      <c r="KRS37" s="85"/>
      <c r="KRT37" s="85"/>
      <c r="KRU37" s="85"/>
      <c r="KRV37" s="85"/>
      <c r="KRW37" s="85"/>
      <c r="KRX37" s="85"/>
      <c r="KRY37" s="85"/>
      <c r="KRZ37" s="85"/>
      <c r="KSA37" s="85"/>
      <c r="KSB37" s="85"/>
      <c r="KSC37" s="85"/>
      <c r="KSD37" s="85"/>
      <c r="KSE37" s="85"/>
      <c r="KSF37" s="85"/>
      <c r="KSG37" s="85"/>
      <c r="KSH37" s="85"/>
      <c r="KSI37" s="85"/>
      <c r="KSJ37" s="85"/>
      <c r="KSK37" s="85"/>
      <c r="KSL37" s="85"/>
      <c r="KSM37" s="85"/>
      <c r="KSN37" s="85"/>
      <c r="KSO37" s="85"/>
      <c r="KSP37" s="85"/>
      <c r="KSQ37" s="85"/>
      <c r="KSR37" s="85"/>
      <c r="KSS37" s="85"/>
      <c r="KST37" s="85"/>
      <c r="KSU37" s="85"/>
      <c r="KSV37" s="85"/>
      <c r="KSW37" s="85"/>
      <c r="KSX37" s="85"/>
      <c r="KSY37" s="85"/>
      <c r="KSZ37" s="85"/>
      <c r="KTA37" s="85"/>
      <c r="KTB37" s="85"/>
      <c r="KTC37" s="85"/>
      <c r="KTD37" s="85"/>
      <c r="KTE37" s="85"/>
      <c r="KTF37" s="85"/>
      <c r="KTG37" s="85"/>
      <c r="KTH37" s="85"/>
      <c r="KTI37" s="85"/>
      <c r="KTJ37" s="85"/>
      <c r="KTK37" s="85"/>
      <c r="KTL37" s="85"/>
      <c r="KTM37" s="85"/>
      <c r="KTN37" s="85"/>
      <c r="KTO37" s="85"/>
      <c r="KTP37" s="85"/>
      <c r="KTQ37" s="85"/>
      <c r="KTR37" s="85"/>
      <c r="KTS37" s="85"/>
      <c r="KTT37" s="85"/>
      <c r="KTU37" s="85"/>
      <c r="KTV37" s="85"/>
      <c r="KTW37" s="85"/>
      <c r="KTX37" s="85"/>
      <c r="KTY37" s="85"/>
      <c r="KTZ37" s="85"/>
      <c r="KUA37" s="85"/>
      <c r="KUB37" s="85"/>
      <c r="KUC37" s="85"/>
      <c r="KUD37" s="85"/>
      <c r="KUE37" s="85"/>
      <c r="KUF37" s="85"/>
      <c r="KUG37" s="85"/>
      <c r="KUH37" s="85"/>
      <c r="KUI37" s="85"/>
      <c r="KUJ37" s="85"/>
      <c r="KUK37" s="85"/>
      <c r="KUL37" s="85"/>
      <c r="KUM37" s="85"/>
      <c r="KUN37" s="85"/>
      <c r="KUO37" s="85"/>
      <c r="KUP37" s="85"/>
      <c r="KUQ37" s="85"/>
      <c r="KUR37" s="85"/>
      <c r="KUS37" s="85"/>
      <c r="KUT37" s="85"/>
      <c r="KUU37" s="85"/>
      <c r="KUV37" s="85"/>
      <c r="KUW37" s="85"/>
      <c r="KUX37" s="85"/>
      <c r="KUY37" s="85"/>
      <c r="KUZ37" s="85"/>
      <c r="KVA37" s="85"/>
      <c r="KVB37" s="85"/>
      <c r="KVC37" s="85"/>
      <c r="KVD37" s="85"/>
      <c r="KVE37" s="85"/>
      <c r="KVF37" s="85"/>
      <c r="KVG37" s="85"/>
      <c r="KVH37" s="85"/>
      <c r="KVI37" s="85"/>
      <c r="KVJ37" s="85"/>
      <c r="KVK37" s="85"/>
      <c r="KVL37" s="85"/>
      <c r="KVM37" s="85"/>
      <c r="KVN37" s="85"/>
      <c r="KVO37" s="85"/>
      <c r="KVP37" s="85"/>
      <c r="KVQ37" s="85"/>
      <c r="KVR37" s="85"/>
      <c r="KVS37" s="85"/>
      <c r="KVT37" s="85"/>
      <c r="KVU37" s="85"/>
      <c r="KVV37" s="85"/>
      <c r="KVW37" s="85"/>
      <c r="KVX37" s="85"/>
      <c r="KVY37" s="85"/>
      <c r="KVZ37" s="85"/>
      <c r="KWA37" s="85"/>
      <c r="KWB37" s="85"/>
      <c r="KWC37" s="85"/>
      <c r="KWD37" s="85"/>
      <c r="KWE37" s="85"/>
      <c r="KWF37" s="85"/>
      <c r="KWG37" s="85"/>
      <c r="KWH37" s="85"/>
      <c r="KWI37" s="85"/>
      <c r="KWJ37" s="85"/>
      <c r="KWK37" s="85"/>
      <c r="KWL37" s="85"/>
      <c r="KWM37" s="85"/>
      <c r="KWN37" s="85"/>
      <c r="KWO37" s="85"/>
      <c r="KWP37" s="85"/>
      <c r="KWQ37" s="85"/>
      <c r="KWR37" s="85"/>
      <c r="KWS37" s="85"/>
      <c r="KWT37" s="85"/>
      <c r="KWU37" s="85"/>
      <c r="KWV37" s="85"/>
      <c r="KWW37" s="85"/>
      <c r="KWX37" s="85"/>
      <c r="KWY37" s="85"/>
      <c r="KWZ37" s="85"/>
      <c r="KXA37" s="85"/>
      <c r="KXB37" s="85"/>
      <c r="KXC37" s="85"/>
      <c r="KXD37" s="85"/>
      <c r="KXE37" s="85"/>
      <c r="KXF37" s="85"/>
      <c r="KXG37" s="85"/>
      <c r="KXH37" s="85"/>
      <c r="KXI37" s="85"/>
      <c r="KXJ37" s="85"/>
      <c r="KXK37" s="85"/>
      <c r="KXL37" s="85"/>
      <c r="KXM37" s="85"/>
      <c r="KXN37" s="85"/>
      <c r="KXO37" s="85"/>
      <c r="KXP37" s="85"/>
      <c r="KXQ37" s="85"/>
      <c r="KXR37" s="85"/>
      <c r="KXS37" s="85"/>
      <c r="KXT37" s="85"/>
      <c r="KXU37" s="85"/>
      <c r="KXV37" s="85"/>
      <c r="KXW37" s="85"/>
      <c r="KXX37" s="85"/>
      <c r="KXY37" s="85"/>
      <c r="KXZ37" s="85"/>
      <c r="KYA37" s="85"/>
      <c r="KYB37" s="85"/>
      <c r="KYC37" s="85"/>
      <c r="KYD37" s="85"/>
      <c r="KYE37" s="85"/>
      <c r="KYF37" s="85"/>
      <c r="KYG37" s="85"/>
      <c r="KYH37" s="85"/>
      <c r="KYI37" s="85"/>
      <c r="KYJ37" s="85"/>
      <c r="KYK37" s="85"/>
      <c r="KYL37" s="85"/>
      <c r="KYM37" s="85"/>
      <c r="KYN37" s="85"/>
      <c r="KYO37" s="85"/>
      <c r="KYP37" s="85"/>
      <c r="KYQ37" s="85"/>
      <c r="KYR37" s="85"/>
      <c r="KYS37" s="85"/>
      <c r="KYT37" s="85"/>
      <c r="KYU37" s="85"/>
      <c r="KYV37" s="85"/>
      <c r="KYW37" s="85"/>
      <c r="KYX37" s="85"/>
      <c r="KYY37" s="85"/>
      <c r="KYZ37" s="85"/>
      <c r="KZA37" s="85"/>
      <c r="KZB37" s="85"/>
      <c r="KZC37" s="85"/>
      <c r="KZD37" s="85"/>
      <c r="KZE37" s="85"/>
      <c r="KZF37" s="85"/>
      <c r="KZG37" s="85"/>
      <c r="KZH37" s="85"/>
      <c r="KZI37" s="85"/>
      <c r="KZJ37" s="85"/>
      <c r="KZK37" s="85"/>
      <c r="KZL37" s="85"/>
      <c r="KZM37" s="85"/>
      <c r="KZN37" s="85"/>
      <c r="KZO37" s="85"/>
      <c r="KZP37" s="85"/>
      <c r="KZQ37" s="85"/>
      <c r="KZR37" s="85"/>
      <c r="KZS37" s="85"/>
      <c r="KZT37" s="85"/>
      <c r="KZU37" s="85"/>
      <c r="KZV37" s="85"/>
      <c r="KZW37" s="85"/>
      <c r="KZX37" s="85"/>
      <c r="KZY37" s="85"/>
      <c r="KZZ37" s="85"/>
      <c r="LAA37" s="85"/>
      <c r="LAB37" s="85"/>
      <c r="LAC37" s="85"/>
      <c r="LAD37" s="85"/>
      <c r="LAE37" s="85"/>
      <c r="LAF37" s="85"/>
      <c r="LAG37" s="85"/>
      <c r="LAH37" s="85"/>
      <c r="LAI37" s="85"/>
      <c r="LAJ37" s="85"/>
      <c r="LAK37" s="85"/>
      <c r="LAL37" s="85"/>
      <c r="LAM37" s="85"/>
      <c r="LAN37" s="85"/>
      <c r="LAO37" s="85"/>
      <c r="LAP37" s="85"/>
      <c r="LAQ37" s="85"/>
      <c r="LAR37" s="85"/>
      <c r="LAS37" s="85"/>
      <c r="LAT37" s="85"/>
      <c r="LAU37" s="85"/>
      <c r="LAV37" s="85"/>
      <c r="LAW37" s="85"/>
      <c r="LAX37" s="85"/>
      <c r="LAY37" s="85"/>
      <c r="LAZ37" s="85"/>
      <c r="LBA37" s="85"/>
      <c r="LBB37" s="85"/>
      <c r="LBC37" s="85"/>
      <c r="LBD37" s="85"/>
      <c r="LBE37" s="85"/>
      <c r="LBF37" s="85"/>
      <c r="LBG37" s="85"/>
      <c r="LBH37" s="85"/>
      <c r="LBI37" s="85"/>
      <c r="LBJ37" s="85"/>
      <c r="LBK37" s="85"/>
      <c r="LBL37" s="85"/>
      <c r="LBM37" s="85"/>
      <c r="LBN37" s="85"/>
      <c r="LBO37" s="85"/>
      <c r="LBP37" s="85"/>
      <c r="LBQ37" s="85"/>
      <c r="LBR37" s="85"/>
      <c r="LBS37" s="85"/>
      <c r="LBT37" s="85"/>
      <c r="LBU37" s="85"/>
      <c r="LBV37" s="85"/>
      <c r="LBW37" s="85"/>
      <c r="LBX37" s="85"/>
      <c r="LBY37" s="85"/>
      <c r="LBZ37" s="85"/>
      <c r="LCA37" s="85"/>
      <c r="LCB37" s="85"/>
      <c r="LCC37" s="85"/>
      <c r="LCD37" s="85"/>
      <c r="LCE37" s="85"/>
      <c r="LCF37" s="85"/>
      <c r="LCG37" s="85"/>
      <c r="LCH37" s="85"/>
      <c r="LCI37" s="85"/>
      <c r="LCJ37" s="85"/>
      <c r="LCK37" s="85"/>
      <c r="LCL37" s="85"/>
      <c r="LCM37" s="85"/>
      <c r="LCN37" s="85"/>
      <c r="LCO37" s="85"/>
      <c r="LCP37" s="85"/>
      <c r="LCQ37" s="85"/>
      <c r="LCR37" s="85"/>
      <c r="LCS37" s="85"/>
      <c r="LCT37" s="85"/>
      <c r="LCU37" s="85"/>
      <c r="LCV37" s="85"/>
      <c r="LCW37" s="85"/>
      <c r="LCX37" s="85"/>
      <c r="LCY37" s="85"/>
      <c r="LCZ37" s="85"/>
      <c r="LDA37" s="85"/>
      <c r="LDB37" s="85"/>
      <c r="LDC37" s="85"/>
      <c r="LDD37" s="85"/>
      <c r="LDE37" s="85"/>
      <c r="LDF37" s="85"/>
      <c r="LDG37" s="85"/>
      <c r="LDH37" s="85"/>
      <c r="LDI37" s="85"/>
      <c r="LDJ37" s="85"/>
      <c r="LDK37" s="85"/>
      <c r="LDL37" s="85"/>
      <c r="LDM37" s="85"/>
      <c r="LDN37" s="85"/>
      <c r="LDO37" s="85"/>
      <c r="LDP37" s="85"/>
      <c r="LDQ37" s="85"/>
      <c r="LDR37" s="85"/>
      <c r="LDS37" s="85"/>
      <c r="LDT37" s="85"/>
      <c r="LDU37" s="85"/>
      <c r="LDV37" s="85"/>
      <c r="LDW37" s="85"/>
      <c r="LDX37" s="85"/>
      <c r="LDY37" s="85"/>
      <c r="LDZ37" s="85"/>
      <c r="LEA37" s="85"/>
      <c r="LEB37" s="85"/>
      <c r="LEC37" s="85"/>
      <c r="LED37" s="85"/>
      <c r="LEE37" s="85"/>
      <c r="LEF37" s="85"/>
      <c r="LEG37" s="85"/>
      <c r="LEH37" s="85"/>
      <c r="LEI37" s="85"/>
      <c r="LEJ37" s="85"/>
      <c r="LEK37" s="85"/>
      <c r="LEL37" s="85"/>
      <c r="LEM37" s="85"/>
      <c r="LEN37" s="85"/>
      <c r="LEO37" s="85"/>
      <c r="LEP37" s="85"/>
      <c r="LEQ37" s="85"/>
      <c r="LER37" s="85"/>
      <c r="LES37" s="85"/>
      <c r="LET37" s="85"/>
      <c r="LEU37" s="85"/>
      <c r="LEV37" s="85"/>
      <c r="LEW37" s="85"/>
      <c r="LEX37" s="85"/>
      <c r="LEY37" s="85"/>
      <c r="LEZ37" s="85"/>
      <c r="LFA37" s="85"/>
      <c r="LFB37" s="85"/>
      <c r="LFC37" s="85"/>
      <c r="LFD37" s="85"/>
      <c r="LFE37" s="85"/>
      <c r="LFF37" s="85"/>
      <c r="LFG37" s="85"/>
      <c r="LFH37" s="85"/>
      <c r="LFI37" s="85"/>
      <c r="LFJ37" s="85"/>
      <c r="LFK37" s="85"/>
      <c r="LFL37" s="85"/>
      <c r="LFM37" s="85"/>
      <c r="LFN37" s="85"/>
      <c r="LFO37" s="85"/>
      <c r="LFP37" s="85"/>
      <c r="LFQ37" s="85"/>
      <c r="LFR37" s="85"/>
      <c r="LFS37" s="85"/>
      <c r="LFT37" s="85"/>
      <c r="LFU37" s="85"/>
      <c r="LFV37" s="85"/>
      <c r="LFW37" s="85"/>
      <c r="LFX37" s="85"/>
      <c r="LFY37" s="85"/>
      <c r="LFZ37" s="85"/>
      <c r="LGA37" s="85"/>
      <c r="LGB37" s="85"/>
      <c r="LGC37" s="85"/>
      <c r="LGD37" s="85"/>
      <c r="LGE37" s="85"/>
      <c r="LGF37" s="85"/>
      <c r="LGG37" s="85"/>
      <c r="LGH37" s="85"/>
      <c r="LGI37" s="85"/>
      <c r="LGJ37" s="85"/>
      <c r="LGK37" s="85"/>
      <c r="LGL37" s="85"/>
      <c r="LGM37" s="85"/>
      <c r="LGN37" s="85"/>
      <c r="LGO37" s="85"/>
      <c r="LGP37" s="85"/>
      <c r="LGQ37" s="85"/>
      <c r="LGR37" s="85"/>
      <c r="LGS37" s="85"/>
      <c r="LGT37" s="85"/>
      <c r="LGU37" s="85"/>
      <c r="LGV37" s="85"/>
      <c r="LGW37" s="85"/>
      <c r="LGX37" s="85"/>
      <c r="LGY37" s="85"/>
      <c r="LGZ37" s="85"/>
      <c r="LHA37" s="85"/>
      <c r="LHB37" s="85"/>
      <c r="LHC37" s="85"/>
      <c r="LHD37" s="85"/>
      <c r="LHE37" s="85"/>
      <c r="LHF37" s="85"/>
      <c r="LHG37" s="85"/>
      <c r="LHH37" s="85"/>
      <c r="LHI37" s="85"/>
      <c r="LHJ37" s="85"/>
      <c r="LHK37" s="85"/>
      <c r="LHL37" s="85"/>
      <c r="LHM37" s="85"/>
      <c r="LHN37" s="85"/>
      <c r="LHO37" s="85"/>
      <c r="LHP37" s="85"/>
      <c r="LHQ37" s="85"/>
      <c r="LHR37" s="85"/>
      <c r="LHS37" s="85"/>
      <c r="LHT37" s="85"/>
      <c r="LHU37" s="85"/>
      <c r="LHV37" s="85"/>
      <c r="LHW37" s="85"/>
      <c r="LHX37" s="85"/>
      <c r="LHY37" s="85"/>
      <c r="LHZ37" s="85"/>
      <c r="LIA37" s="85"/>
      <c r="LIB37" s="85"/>
      <c r="LIC37" s="85"/>
      <c r="LID37" s="85"/>
      <c r="LIE37" s="85"/>
      <c r="LIF37" s="85"/>
      <c r="LIG37" s="85"/>
      <c r="LIH37" s="85"/>
      <c r="LII37" s="85"/>
      <c r="LIJ37" s="85"/>
      <c r="LIK37" s="85"/>
      <c r="LIL37" s="85"/>
      <c r="LIM37" s="85"/>
      <c r="LIN37" s="85"/>
      <c r="LIO37" s="85"/>
      <c r="LIP37" s="85"/>
      <c r="LIQ37" s="85"/>
      <c r="LIR37" s="85"/>
      <c r="LIS37" s="85"/>
      <c r="LIT37" s="85"/>
      <c r="LIU37" s="85"/>
      <c r="LIV37" s="85"/>
      <c r="LIW37" s="85"/>
      <c r="LIX37" s="85"/>
      <c r="LIY37" s="85"/>
      <c r="LIZ37" s="85"/>
      <c r="LJA37" s="85"/>
      <c r="LJB37" s="85"/>
      <c r="LJC37" s="85"/>
      <c r="LJD37" s="85"/>
      <c r="LJE37" s="85"/>
      <c r="LJF37" s="85"/>
      <c r="LJG37" s="85"/>
      <c r="LJH37" s="85"/>
      <c r="LJI37" s="85"/>
      <c r="LJJ37" s="85"/>
      <c r="LJK37" s="85"/>
      <c r="LJL37" s="85"/>
      <c r="LJM37" s="85"/>
      <c r="LJN37" s="85"/>
      <c r="LJO37" s="85"/>
      <c r="LJP37" s="85"/>
      <c r="LJQ37" s="85"/>
      <c r="LJR37" s="85"/>
      <c r="LJS37" s="85"/>
      <c r="LJT37" s="85"/>
      <c r="LJU37" s="85"/>
      <c r="LJV37" s="85"/>
      <c r="LJW37" s="85"/>
      <c r="LJX37" s="85"/>
      <c r="LJY37" s="85"/>
      <c r="LJZ37" s="85"/>
      <c r="LKA37" s="85"/>
      <c r="LKB37" s="85"/>
      <c r="LKC37" s="85"/>
      <c r="LKD37" s="85"/>
      <c r="LKE37" s="85"/>
      <c r="LKF37" s="85"/>
      <c r="LKG37" s="85"/>
      <c r="LKH37" s="85"/>
      <c r="LKI37" s="85"/>
      <c r="LKJ37" s="85"/>
      <c r="LKK37" s="85"/>
      <c r="LKL37" s="85"/>
      <c r="LKM37" s="85"/>
      <c r="LKN37" s="85"/>
      <c r="LKO37" s="85"/>
      <c r="LKP37" s="85"/>
      <c r="LKQ37" s="85"/>
      <c r="LKR37" s="85"/>
      <c r="LKS37" s="85"/>
      <c r="LKT37" s="85"/>
      <c r="LKU37" s="85"/>
      <c r="LKV37" s="85"/>
      <c r="LKW37" s="85"/>
      <c r="LKX37" s="85"/>
      <c r="LKY37" s="85"/>
      <c r="LKZ37" s="85"/>
      <c r="LLA37" s="85"/>
      <c r="LLB37" s="85"/>
      <c r="LLC37" s="85"/>
      <c r="LLD37" s="85"/>
      <c r="LLE37" s="85"/>
      <c r="LLF37" s="85"/>
      <c r="LLG37" s="85"/>
      <c r="LLH37" s="85"/>
      <c r="LLI37" s="85"/>
      <c r="LLJ37" s="85"/>
      <c r="LLK37" s="85"/>
      <c r="LLL37" s="85"/>
      <c r="LLM37" s="85"/>
      <c r="LLN37" s="85"/>
      <c r="LLO37" s="85"/>
      <c r="LLP37" s="85"/>
      <c r="LLQ37" s="85"/>
      <c r="LLR37" s="85"/>
      <c r="LLS37" s="85"/>
      <c r="LLT37" s="85"/>
      <c r="LLU37" s="85"/>
      <c r="LLV37" s="85"/>
      <c r="LLW37" s="85"/>
      <c r="LLX37" s="85"/>
      <c r="LLY37" s="85"/>
      <c r="LLZ37" s="85"/>
      <c r="LMA37" s="85"/>
      <c r="LMB37" s="85"/>
      <c r="LMC37" s="85"/>
      <c r="LMD37" s="85"/>
      <c r="LME37" s="85"/>
      <c r="LMF37" s="85"/>
      <c r="LMG37" s="85"/>
      <c r="LMH37" s="85"/>
      <c r="LMI37" s="85"/>
      <c r="LMJ37" s="85"/>
      <c r="LMK37" s="85"/>
      <c r="LML37" s="85"/>
      <c r="LMM37" s="85"/>
      <c r="LMN37" s="85"/>
      <c r="LMO37" s="85"/>
      <c r="LMP37" s="85"/>
      <c r="LMQ37" s="85"/>
      <c r="LMR37" s="85"/>
      <c r="LMS37" s="85"/>
      <c r="LMT37" s="85"/>
      <c r="LMU37" s="85"/>
      <c r="LMV37" s="85"/>
      <c r="LMW37" s="85"/>
      <c r="LMX37" s="85"/>
      <c r="LMY37" s="85"/>
      <c r="LMZ37" s="85"/>
      <c r="LNA37" s="85"/>
      <c r="LNB37" s="85"/>
      <c r="LNC37" s="85"/>
      <c r="LND37" s="85"/>
      <c r="LNE37" s="85"/>
      <c r="LNF37" s="85"/>
      <c r="LNG37" s="85"/>
      <c r="LNH37" s="85"/>
      <c r="LNI37" s="85"/>
      <c r="LNJ37" s="85"/>
      <c r="LNK37" s="85"/>
      <c r="LNL37" s="85"/>
      <c r="LNM37" s="85"/>
      <c r="LNN37" s="85"/>
      <c r="LNO37" s="85"/>
      <c r="LNP37" s="85"/>
      <c r="LNQ37" s="85"/>
      <c r="LNR37" s="85"/>
      <c r="LNS37" s="85"/>
      <c r="LNT37" s="85"/>
      <c r="LNU37" s="85"/>
      <c r="LNV37" s="85"/>
      <c r="LNW37" s="85"/>
      <c r="LNX37" s="85"/>
      <c r="LNY37" s="85"/>
      <c r="LNZ37" s="85"/>
      <c r="LOA37" s="85"/>
      <c r="LOB37" s="85"/>
      <c r="LOC37" s="85"/>
      <c r="LOD37" s="85"/>
      <c r="LOE37" s="85"/>
      <c r="LOF37" s="85"/>
      <c r="LOG37" s="85"/>
      <c r="LOH37" s="85"/>
      <c r="LOI37" s="85"/>
      <c r="LOJ37" s="85"/>
      <c r="LOK37" s="85"/>
      <c r="LOL37" s="85"/>
      <c r="LOM37" s="85"/>
      <c r="LON37" s="85"/>
      <c r="LOO37" s="85"/>
      <c r="LOP37" s="85"/>
      <c r="LOQ37" s="85"/>
      <c r="LOR37" s="85"/>
      <c r="LOS37" s="85"/>
      <c r="LOT37" s="85"/>
      <c r="LOU37" s="85"/>
      <c r="LOV37" s="85"/>
      <c r="LOW37" s="85"/>
      <c r="LOX37" s="85"/>
      <c r="LOY37" s="85"/>
      <c r="LOZ37" s="85"/>
      <c r="LPA37" s="85"/>
      <c r="LPB37" s="85"/>
      <c r="LPC37" s="85"/>
      <c r="LPD37" s="85"/>
      <c r="LPE37" s="85"/>
      <c r="LPF37" s="85"/>
      <c r="LPG37" s="85"/>
      <c r="LPH37" s="85"/>
      <c r="LPI37" s="85"/>
      <c r="LPJ37" s="85"/>
      <c r="LPK37" s="85"/>
      <c r="LPL37" s="85"/>
      <c r="LPM37" s="85"/>
      <c r="LPN37" s="85"/>
      <c r="LPO37" s="85"/>
      <c r="LPP37" s="85"/>
      <c r="LPQ37" s="85"/>
      <c r="LPR37" s="85"/>
      <c r="LPS37" s="85"/>
      <c r="LPT37" s="85"/>
      <c r="LPU37" s="85"/>
      <c r="LPV37" s="85"/>
      <c r="LPW37" s="85"/>
      <c r="LPX37" s="85"/>
      <c r="LPY37" s="85"/>
      <c r="LPZ37" s="85"/>
      <c r="LQA37" s="85"/>
      <c r="LQB37" s="85"/>
      <c r="LQC37" s="85"/>
      <c r="LQD37" s="85"/>
      <c r="LQE37" s="85"/>
      <c r="LQF37" s="85"/>
      <c r="LQG37" s="85"/>
      <c r="LQH37" s="85"/>
      <c r="LQI37" s="85"/>
      <c r="LQJ37" s="85"/>
      <c r="LQK37" s="85"/>
      <c r="LQL37" s="85"/>
      <c r="LQM37" s="85"/>
      <c r="LQN37" s="85"/>
      <c r="LQO37" s="85"/>
      <c r="LQP37" s="85"/>
      <c r="LQQ37" s="85"/>
      <c r="LQR37" s="85"/>
      <c r="LQS37" s="85"/>
      <c r="LQT37" s="85"/>
      <c r="LQU37" s="85"/>
      <c r="LQV37" s="85"/>
      <c r="LQW37" s="85"/>
      <c r="LQX37" s="85"/>
      <c r="LQY37" s="85"/>
      <c r="LQZ37" s="85"/>
      <c r="LRA37" s="85"/>
      <c r="LRB37" s="85"/>
      <c r="LRC37" s="85"/>
      <c r="LRD37" s="85"/>
      <c r="LRE37" s="85"/>
      <c r="LRF37" s="85"/>
      <c r="LRG37" s="85"/>
      <c r="LRH37" s="85"/>
      <c r="LRI37" s="85"/>
      <c r="LRJ37" s="85"/>
      <c r="LRK37" s="85"/>
      <c r="LRL37" s="85"/>
      <c r="LRM37" s="85"/>
      <c r="LRN37" s="85"/>
      <c r="LRO37" s="85"/>
      <c r="LRP37" s="85"/>
      <c r="LRQ37" s="85"/>
      <c r="LRR37" s="85"/>
      <c r="LRS37" s="85"/>
      <c r="LRT37" s="85"/>
      <c r="LRU37" s="85"/>
      <c r="LRV37" s="85"/>
      <c r="LRW37" s="85"/>
      <c r="LRX37" s="85"/>
      <c r="LRY37" s="85"/>
      <c r="LRZ37" s="85"/>
      <c r="LSA37" s="85"/>
      <c r="LSB37" s="85"/>
      <c r="LSC37" s="85"/>
      <c r="LSD37" s="85"/>
      <c r="LSE37" s="85"/>
      <c r="LSF37" s="85"/>
      <c r="LSG37" s="85"/>
      <c r="LSH37" s="85"/>
      <c r="LSI37" s="85"/>
      <c r="LSJ37" s="85"/>
      <c r="LSK37" s="85"/>
      <c r="LSL37" s="85"/>
      <c r="LSM37" s="85"/>
      <c r="LSN37" s="85"/>
      <c r="LSO37" s="85"/>
      <c r="LSP37" s="85"/>
      <c r="LSQ37" s="85"/>
      <c r="LSR37" s="85"/>
      <c r="LSS37" s="85"/>
      <c r="LST37" s="85"/>
      <c r="LSU37" s="85"/>
      <c r="LSV37" s="85"/>
      <c r="LSW37" s="85"/>
      <c r="LSX37" s="85"/>
      <c r="LSY37" s="85"/>
      <c r="LSZ37" s="85"/>
      <c r="LTA37" s="85"/>
      <c r="LTB37" s="85"/>
      <c r="LTC37" s="85"/>
      <c r="LTD37" s="85"/>
      <c r="LTE37" s="85"/>
      <c r="LTF37" s="85"/>
      <c r="LTG37" s="85"/>
      <c r="LTH37" s="85"/>
      <c r="LTI37" s="85"/>
      <c r="LTJ37" s="85"/>
      <c r="LTK37" s="85"/>
      <c r="LTL37" s="85"/>
      <c r="LTM37" s="85"/>
      <c r="LTN37" s="85"/>
      <c r="LTO37" s="85"/>
      <c r="LTP37" s="85"/>
      <c r="LTQ37" s="85"/>
      <c r="LTR37" s="85"/>
      <c r="LTS37" s="85"/>
      <c r="LTT37" s="85"/>
      <c r="LTU37" s="85"/>
      <c r="LTV37" s="85"/>
      <c r="LTW37" s="85"/>
      <c r="LTX37" s="85"/>
      <c r="LTY37" s="85"/>
      <c r="LTZ37" s="85"/>
      <c r="LUA37" s="85"/>
      <c r="LUB37" s="85"/>
      <c r="LUC37" s="85"/>
      <c r="LUD37" s="85"/>
      <c r="LUE37" s="85"/>
      <c r="LUF37" s="85"/>
      <c r="LUG37" s="85"/>
      <c r="LUH37" s="85"/>
      <c r="LUI37" s="85"/>
      <c r="LUJ37" s="85"/>
      <c r="LUK37" s="85"/>
      <c r="LUL37" s="85"/>
      <c r="LUM37" s="85"/>
      <c r="LUN37" s="85"/>
      <c r="LUO37" s="85"/>
      <c r="LUP37" s="85"/>
      <c r="LUQ37" s="85"/>
      <c r="LUR37" s="85"/>
      <c r="LUS37" s="85"/>
      <c r="LUT37" s="85"/>
      <c r="LUU37" s="85"/>
      <c r="LUV37" s="85"/>
      <c r="LUW37" s="85"/>
      <c r="LUX37" s="85"/>
      <c r="LUY37" s="85"/>
      <c r="LUZ37" s="85"/>
      <c r="LVA37" s="85"/>
      <c r="LVB37" s="85"/>
      <c r="LVC37" s="85"/>
      <c r="LVD37" s="85"/>
      <c r="LVE37" s="85"/>
      <c r="LVF37" s="85"/>
      <c r="LVG37" s="85"/>
      <c r="LVH37" s="85"/>
      <c r="LVI37" s="85"/>
      <c r="LVJ37" s="85"/>
      <c r="LVK37" s="85"/>
      <c r="LVL37" s="85"/>
      <c r="LVM37" s="85"/>
      <c r="LVN37" s="85"/>
      <c r="LVO37" s="85"/>
      <c r="LVP37" s="85"/>
      <c r="LVQ37" s="85"/>
      <c r="LVR37" s="85"/>
      <c r="LVS37" s="85"/>
      <c r="LVT37" s="85"/>
      <c r="LVU37" s="85"/>
      <c r="LVV37" s="85"/>
      <c r="LVW37" s="85"/>
      <c r="LVX37" s="85"/>
      <c r="LVY37" s="85"/>
      <c r="LVZ37" s="85"/>
      <c r="LWA37" s="85"/>
      <c r="LWB37" s="85"/>
      <c r="LWC37" s="85"/>
      <c r="LWD37" s="85"/>
      <c r="LWE37" s="85"/>
      <c r="LWF37" s="85"/>
      <c r="LWG37" s="85"/>
      <c r="LWH37" s="85"/>
      <c r="LWI37" s="85"/>
      <c r="LWJ37" s="85"/>
      <c r="LWK37" s="85"/>
      <c r="LWL37" s="85"/>
      <c r="LWM37" s="85"/>
      <c r="LWN37" s="85"/>
      <c r="LWO37" s="85"/>
      <c r="LWP37" s="85"/>
      <c r="LWQ37" s="85"/>
      <c r="LWR37" s="85"/>
      <c r="LWS37" s="85"/>
      <c r="LWT37" s="85"/>
      <c r="LWU37" s="85"/>
      <c r="LWV37" s="85"/>
      <c r="LWW37" s="85"/>
      <c r="LWX37" s="85"/>
      <c r="LWY37" s="85"/>
      <c r="LWZ37" s="85"/>
      <c r="LXA37" s="85"/>
      <c r="LXB37" s="85"/>
      <c r="LXC37" s="85"/>
      <c r="LXD37" s="85"/>
      <c r="LXE37" s="85"/>
      <c r="LXF37" s="85"/>
      <c r="LXG37" s="85"/>
      <c r="LXH37" s="85"/>
      <c r="LXI37" s="85"/>
      <c r="LXJ37" s="85"/>
      <c r="LXK37" s="85"/>
      <c r="LXL37" s="85"/>
      <c r="LXM37" s="85"/>
      <c r="LXN37" s="85"/>
      <c r="LXO37" s="85"/>
      <c r="LXP37" s="85"/>
      <c r="LXQ37" s="85"/>
      <c r="LXR37" s="85"/>
      <c r="LXS37" s="85"/>
      <c r="LXT37" s="85"/>
      <c r="LXU37" s="85"/>
      <c r="LXV37" s="85"/>
      <c r="LXW37" s="85"/>
      <c r="LXX37" s="85"/>
      <c r="LXY37" s="85"/>
      <c r="LXZ37" s="85"/>
      <c r="LYA37" s="85"/>
      <c r="LYB37" s="85"/>
      <c r="LYC37" s="85"/>
      <c r="LYD37" s="85"/>
      <c r="LYE37" s="85"/>
      <c r="LYF37" s="85"/>
      <c r="LYG37" s="85"/>
      <c r="LYH37" s="85"/>
      <c r="LYI37" s="85"/>
      <c r="LYJ37" s="85"/>
      <c r="LYK37" s="85"/>
      <c r="LYL37" s="85"/>
      <c r="LYM37" s="85"/>
      <c r="LYN37" s="85"/>
      <c r="LYO37" s="85"/>
      <c r="LYP37" s="85"/>
      <c r="LYQ37" s="85"/>
      <c r="LYR37" s="85"/>
      <c r="LYS37" s="85"/>
      <c r="LYT37" s="85"/>
      <c r="LYU37" s="85"/>
      <c r="LYV37" s="85"/>
      <c r="LYW37" s="85"/>
      <c r="LYX37" s="85"/>
      <c r="LYY37" s="85"/>
      <c r="LYZ37" s="85"/>
      <c r="LZA37" s="85"/>
      <c r="LZB37" s="85"/>
      <c r="LZC37" s="85"/>
      <c r="LZD37" s="85"/>
      <c r="LZE37" s="85"/>
      <c r="LZF37" s="85"/>
      <c r="LZG37" s="85"/>
      <c r="LZH37" s="85"/>
      <c r="LZI37" s="85"/>
      <c r="LZJ37" s="85"/>
      <c r="LZK37" s="85"/>
      <c r="LZL37" s="85"/>
      <c r="LZM37" s="85"/>
      <c r="LZN37" s="85"/>
      <c r="LZO37" s="85"/>
      <c r="LZP37" s="85"/>
      <c r="LZQ37" s="85"/>
      <c r="LZR37" s="85"/>
      <c r="LZS37" s="85"/>
      <c r="LZT37" s="85"/>
      <c r="LZU37" s="85"/>
      <c r="LZV37" s="85"/>
      <c r="LZW37" s="85"/>
      <c r="LZX37" s="85"/>
      <c r="LZY37" s="85"/>
      <c r="LZZ37" s="85"/>
      <c r="MAA37" s="85"/>
      <c r="MAB37" s="85"/>
      <c r="MAC37" s="85"/>
      <c r="MAD37" s="85"/>
      <c r="MAE37" s="85"/>
      <c r="MAF37" s="85"/>
      <c r="MAG37" s="85"/>
      <c r="MAH37" s="85"/>
      <c r="MAI37" s="85"/>
      <c r="MAJ37" s="85"/>
      <c r="MAK37" s="85"/>
      <c r="MAL37" s="85"/>
      <c r="MAM37" s="85"/>
      <c r="MAN37" s="85"/>
      <c r="MAO37" s="85"/>
      <c r="MAP37" s="85"/>
      <c r="MAQ37" s="85"/>
      <c r="MAR37" s="85"/>
      <c r="MAS37" s="85"/>
      <c r="MAT37" s="85"/>
      <c r="MAU37" s="85"/>
      <c r="MAV37" s="85"/>
      <c r="MAW37" s="85"/>
      <c r="MAX37" s="85"/>
      <c r="MAY37" s="85"/>
      <c r="MAZ37" s="85"/>
      <c r="MBA37" s="85"/>
      <c r="MBB37" s="85"/>
      <c r="MBC37" s="85"/>
      <c r="MBD37" s="85"/>
      <c r="MBE37" s="85"/>
      <c r="MBF37" s="85"/>
      <c r="MBG37" s="85"/>
      <c r="MBH37" s="85"/>
      <c r="MBI37" s="85"/>
      <c r="MBJ37" s="85"/>
      <c r="MBK37" s="85"/>
      <c r="MBL37" s="85"/>
      <c r="MBM37" s="85"/>
      <c r="MBN37" s="85"/>
      <c r="MBO37" s="85"/>
      <c r="MBP37" s="85"/>
      <c r="MBQ37" s="85"/>
      <c r="MBR37" s="85"/>
      <c r="MBS37" s="85"/>
      <c r="MBT37" s="85"/>
      <c r="MBU37" s="85"/>
      <c r="MBV37" s="85"/>
      <c r="MBW37" s="85"/>
      <c r="MBX37" s="85"/>
      <c r="MBY37" s="85"/>
      <c r="MBZ37" s="85"/>
      <c r="MCA37" s="85"/>
      <c r="MCB37" s="85"/>
      <c r="MCC37" s="85"/>
      <c r="MCD37" s="85"/>
      <c r="MCE37" s="85"/>
      <c r="MCF37" s="85"/>
      <c r="MCG37" s="85"/>
      <c r="MCH37" s="85"/>
      <c r="MCI37" s="85"/>
      <c r="MCJ37" s="85"/>
      <c r="MCK37" s="85"/>
      <c r="MCL37" s="85"/>
      <c r="MCM37" s="85"/>
      <c r="MCN37" s="85"/>
      <c r="MCO37" s="85"/>
      <c r="MCP37" s="85"/>
      <c r="MCQ37" s="85"/>
      <c r="MCR37" s="85"/>
      <c r="MCS37" s="85"/>
      <c r="MCT37" s="85"/>
      <c r="MCU37" s="85"/>
      <c r="MCV37" s="85"/>
      <c r="MCW37" s="85"/>
      <c r="MCX37" s="85"/>
      <c r="MCY37" s="85"/>
      <c r="MCZ37" s="85"/>
      <c r="MDA37" s="85"/>
      <c r="MDB37" s="85"/>
      <c r="MDC37" s="85"/>
      <c r="MDD37" s="85"/>
      <c r="MDE37" s="85"/>
      <c r="MDF37" s="85"/>
      <c r="MDG37" s="85"/>
      <c r="MDH37" s="85"/>
      <c r="MDI37" s="85"/>
      <c r="MDJ37" s="85"/>
      <c r="MDK37" s="85"/>
      <c r="MDL37" s="85"/>
      <c r="MDM37" s="85"/>
      <c r="MDN37" s="85"/>
      <c r="MDO37" s="85"/>
      <c r="MDP37" s="85"/>
      <c r="MDQ37" s="85"/>
      <c r="MDR37" s="85"/>
      <c r="MDS37" s="85"/>
      <c r="MDT37" s="85"/>
      <c r="MDU37" s="85"/>
      <c r="MDV37" s="85"/>
      <c r="MDW37" s="85"/>
      <c r="MDX37" s="85"/>
      <c r="MDY37" s="85"/>
      <c r="MDZ37" s="85"/>
      <c r="MEA37" s="85"/>
      <c r="MEB37" s="85"/>
      <c r="MEC37" s="85"/>
      <c r="MED37" s="85"/>
      <c r="MEE37" s="85"/>
      <c r="MEF37" s="85"/>
      <c r="MEG37" s="85"/>
      <c r="MEH37" s="85"/>
      <c r="MEI37" s="85"/>
      <c r="MEJ37" s="85"/>
      <c r="MEK37" s="85"/>
      <c r="MEL37" s="85"/>
      <c r="MEM37" s="85"/>
      <c r="MEN37" s="85"/>
      <c r="MEO37" s="85"/>
      <c r="MEP37" s="85"/>
      <c r="MEQ37" s="85"/>
      <c r="MER37" s="85"/>
      <c r="MES37" s="85"/>
      <c r="MET37" s="85"/>
      <c r="MEU37" s="85"/>
      <c r="MEV37" s="85"/>
      <c r="MEW37" s="85"/>
      <c r="MEX37" s="85"/>
      <c r="MEY37" s="85"/>
      <c r="MEZ37" s="85"/>
      <c r="MFA37" s="85"/>
      <c r="MFB37" s="85"/>
      <c r="MFC37" s="85"/>
      <c r="MFD37" s="85"/>
      <c r="MFE37" s="85"/>
      <c r="MFF37" s="85"/>
      <c r="MFG37" s="85"/>
      <c r="MFH37" s="85"/>
      <c r="MFI37" s="85"/>
      <c r="MFJ37" s="85"/>
      <c r="MFK37" s="85"/>
      <c r="MFL37" s="85"/>
      <c r="MFM37" s="85"/>
      <c r="MFN37" s="85"/>
      <c r="MFO37" s="85"/>
      <c r="MFP37" s="85"/>
      <c r="MFQ37" s="85"/>
      <c r="MFR37" s="85"/>
      <c r="MFS37" s="85"/>
      <c r="MFT37" s="85"/>
      <c r="MFU37" s="85"/>
      <c r="MFV37" s="85"/>
      <c r="MFW37" s="85"/>
      <c r="MFX37" s="85"/>
      <c r="MFY37" s="85"/>
      <c r="MFZ37" s="85"/>
      <c r="MGA37" s="85"/>
      <c r="MGB37" s="85"/>
      <c r="MGC37" s="85"/>
      <c r="MGD37" s="85"/>
      <c r="MGE37" s="85"/>
      <c r="MGF37" s="85"/>
      <c r="MGG37" s="85"/>
      <c r="MGH37" s="85"/>
      <c r="MGI37" s="85"/>
      <c r="MGJ37" s="85"/>
      <c r="MGK37" s="85"/>
      <c r="MGL37" s="85"/>
      <c r="MGM37" s="85"/>
      <c r="MGN37" s="85"/>
      <c r="MGO37" s="85"/>
      <c r="MGP37" s="85"/>
      <c r="MGQ37" s="85"/>
      <c r="MGR37" s="85"/>
      <c r="MGS37" s="85"/>
      <c r="MGT37" s="85"/>
      <c r="MGU37" s="85"/>
      <c r="MGV37" s="85"/>
      <c r="MGW37" s="85"/>
      <c r="MGX37" s="85"/>
      <c r="MGY37" s="85"/>
      <c r="MGZ37" s="85"/>
      <c r="MHA37" s="85"/>
      <c r="MHB37" s="85"/>
      <c r="MHC37" s="85"/>
      <c r="MHD37" s="85"/>
      <c r="MHE37" s="85"/>
      <c r="MHF37" s="85"/>
      <c r="MHG37" s="85"/>
      <c r="MHH37" s="85"/>
      <c r="MHI37" s="85"/>
      <c r="MHJ37" s="85"/>
      <c r="MHK37" s="85"/>
      <c r="MHL37" s="85"/>
      <c r="MHM37" s="85"/>
      <c r="MHN37" s="85"/>
      <c r="MHO37" s="85"/>
      <c r="MHP37" s="85"/>
      <c r="MHQ37" s="85"/>
      <c r="MHR37" s="85"/>
      <c r="MHS37" s="85"/>
      <c r="MHT37" s="85"/>
      <c r="MHU37" s="85"/>
      <c r="MHV37" s="85"/>
      <c r="MHW37" s="85"/>
      <c r="MHX37" s="85"/>
      <c r="MHY37" s="85"/>
      <c r="MHZ37" s="85"/>
      <c r="MIA37" s="85"/>
      <c r="MIB37" s="85"/>
      <c r="MIC37" s="85"/>
      <c r="MID37" s="85"/>
      <c r="MIE37" s="85"/>
      <c r="MIF37" s="85"/>
      <c r="MIG37" s="85"/>
      <c r="MIH37" s="85"/>
      <c r="MII37" s="85"/>
      <c r="MIJ37" s="85"/>
      <c r="MIK37" s="85"/>
      <c r="MIL37" s="85"/>
      <c r="MIM37" s="85"/>
      <c r="MIN37" s="85"/>
      <c r="MIO37" s="85"/>
      <c r="MIP37" s="85"/>
      <c r="MIQ37" s="85"/>
      <c r="MIR37" s="85"/>
      <c r="MIS37" s="85"/>
      <c r="MIT37" s="85"/>
      <c r="MIU37" s="85"/>
      <c r="MIV37" s="85"/>
      <c r="MIW37" s="85"/>
      <c r="MIX37" s="85"/>
      <c r="MIY37" s="85"/>
      <c r="MIZ37" s="85"/>
      <c r="MJA37" s="85"/>
      <c r="MJB37" s="85"/>
      <c r="MJC37" s="85"/>
      <c r="MJD37" s="85"/>
      <c r="MJE37" s="85"/>
      <c r="MJF37" s="85"/>
      <c r="MJG37" s="85"/>
      <c r="MJH37" s="85"/>
      <c r="MJI37" s="85"/>
      <c r="MJJ37" s="85"/>
      <c r="MJK37" s="85"/>
      <c r="MJL37" s="85"/>
      <c r="MJM37" s="85"/>
      <c r="MJN37" s="85"/>
      <c r="MJO37" s="85"/>
      <c r="MJP37" s="85"/>
      <c r="MJQ37" s="85"/>
      <c r="MJR37" s="85"/>
      <c r="MJS37" s="85"/>
      <c r="MJT37" s="85"/>
      <c r="MJU37" s="85"/>
      <c r="MJV37" s="85"/>
      <c r="MJW37" s="85"/>
      <c r="MJX37" s="85"/>
      <c r="MJY37" s="85"/>
      <c r="MJZ37" s="85"/>
      <c r="MKA37" s="85"/>
      <c r="MKB37" s="85"/>
      <c r="MKC37" s="85"/>
      <c r="MKD37" s="85"/>
      <c r="MKE37" s="85"/>
      <c r="MKF37" s="85"/>
      <c r="MKG37" s="85"/>
      <c r="MKH37" s="85"/>
      <c r="MKI37" s="85"/>
      <c r="MKJ37" s="85"/>
      <c r="MKK37" s="85"/>
      <c r="MKL37" s="85"/>
      <c r="MKM37" s="85"/>
      <c r="MKN37" s="85"/>
      <c r="MKO37" s="85"/>
      <c r="MKP37" s="85"/>
      <c r="MKQ37" s="85"/>
      <c r="MKR37" s="85"/>
      <c r="MKS37" s="85"/>
      <c r="MKT37" s="85"/>
      <c r="MKU37" s="85"/>
      <c r="MKV37" s="85"/>
      <c r="MKW37" s="85"/>
      <c r="MKX37" s="85"/>
      <c r="MKY37" s="85"/>
      <c r="MKZ37" s="85"/>
      <c r="MLA37" s="85"/>
      <c r="MLB37" s="85"/>
      <c r="MLC37" s="85"/>
      <c r="MLD37" s="85"/>
      <c r="MLE37" s="85"/>
      <c r="MLF37" s="85"/>
      <c r="MLG37" s="85"/>
      <c r="MLH37" s="85"/>
      <c r="MLI37" s="85"/>
      <c r="MLJ37" s="85"/>
      <c r="MLK37" s="85"/>
      <c r="MLL37" s="85"/>
      <c r="MLM37" s="85"/>
      <c r="MLN37" s="85"/>
      <c r="MLO37" s="85"/>
      <c r="MLP37" s="85"/>
      <c r="MLQ37" s="85"/>
      <c r="MLR37" s="85"/>
      <c r="MLS37" s="85"/>
      <c r="MLT37" s="85"/>
      <c r="MLU37" s="85"/>
      <c r="MLV37" s="85"/>
      <c r="MLW37" s="85"/>
      <c r="MLX37" s="85"/>
      <c r="MLY37" s="85"/>
      <c r="MLZ37" s="85"/>
      <c r="MMA37" s="85"/>
      <c r="MMB37" s="85"/>
      <c r="MMC37" s="85"/>
      <c r="MMD37" s="85"/>
      <c r="MME37" s="85"/>
      <c r="MMF37" s="85"/>
      <c r="MMG37" s="85"/>
      <c r="MMH37" s="85"/>
      <c r="MMI37" s="85"/>
      <c r="MMJ37" s="85"/>
      <c r="MMK37" s="85"/>
      <c r="MML37" s="85"/>
      <c r="MMM37" s="85"/>
      <c r="MMN37" s="85"/>
      <c r="MMO37" s="85"/>
      <c r="MMP37" s="85"/>
      <c r="MMQ37" s="85"/>
      <c r="MMR37" s="85"/>
      <c r="MMS37" s="85"/>
      <c r="MMT37" s="85"/>
      <c r="MMU37" s="85"/>
      <c r="MMV37" s="85"/>
      <c r="MMW37" s="85"/>
      <c r="MMX37" s="85"/>
      <c r="MMY37" s="85"/>
      <c r="MMZ37" s="85"/>
      <c r="MNA37" s="85"/>
      <c r="MNB37" s="85"/>
      <c r="MNC37" s="85"/>
      <c r="MND37" s="85"/>
      <c r="MNE37" s="85"/>
      <c r="MNF37" s="85"/>
      <c r="MNG37" s="85"/>
      <c r="MNH37" s="85"/>
      <c r="MNI37" s="85"/>
      <c r="MNJ37" s="85"/>
      <c r="MNK37" s="85"/>
      <c r="MNL37" s="85"/>
      <c r="MNM37" s="85"/>
      <c r="MNN37" s="85"/>
      <c r="MNO37" s="85"/>
      <c r="MNP37" s="85"/>
      <c r="MNQ37" s="85"/>
      <c r="MNR37" s="85"/>
      <c r="MNS37" s="85"/>
      <c r="MNT37" s="85"/>
      <c r="MNU37" s="85"/>
      <c r="MNV37" s="85"/>
      <c r="MNW37" s="85"/>
      <c r="MNX37" s="85"/>
      <c r="MNY37" s="85"/>
      <c r="MNZ37" s="85"/>
      <c r="MOA37" s="85"/>
      <c r="MOB37" s="85"/>
      <c r="MOC37" s="85"/>
      <c r="MOD37" s="85"/>
      <c r="MOE37" s="85"/>
      <c r="MOF37" s="85"/>
      <c r="MOG37" s="85"/>
      <c r="MOH37" s="85"/>
      <c r="MOI37" s="85"/>
      <c r="MOJ37" s="85"/>
      <c r="MOK37" s="85"/>
      <c r="MOL37" s="85"/>
      <c r="MOM37" s="85"/>
      <c r="MON37" s="85"/>
      <c r="MOO37" s="85"/>
      <c r="MOP37" s="85"/>
      <c r="MOQ37" s="85"/>
      <c r="MOR37" s="85"/>
      <c r="MOS37" s="85"/>
      <c r="MOT37" s="85"/>
      <c r="MOU37" s="85"/>
      <c r="MOV37" s="85"/>
      <c r="MOW37" s="85"/>
      <c r="MOX37" s="85"/>
      <c r="MOY37" s="85"/>
      <c r="MOZ37" s="85"/>
      <c r="MPA37" s="85"/>
      <c r="MPB37" s="85"/>
      <c r="MPC37" s="85"/>
      <c r="MPD37" s="85"/>
      <c r="MPE37" s="85"/>
      <c r="MPF37" s="85"/>
      <c r="MPG37" s="85"/>
      <c r="MPH37" s="85"/>
      <c r="MPI37" s="85"/>
      <c r="MPJ37" s="85"/>
      <c r="MPK37" s="85"/>
      <c r="MPL37" s="85"/>
      <c r="MPM37" s="85"/>
      <c r="MPN37" s="85"/>
      <c r="MPO37" s="85"/>
      <c r="MPP37" s="85"/>
      <c r="MPQ37" s="85"/>
      <c r="MPR37" s="85"/>
      <c r="MPS37" s="85"/>
      <c r="MPT37" s="85"/>
      <c r="MPU37" s="85"/>
      <c r="MPV37" s="85"/>
      <c r="MPW37" s="85"/>
      <c r="MPX37" s="85"/>
      <c r="MPY37" s="85"/>
      <c r="MPZ37" s="85"/>
      <c r="MQA37" s="85"/>
      <c r="MQB37" s="85"/>
      <c r="MQC37" s="85"/>
      <c r="MQD37" s="85"/>
      <c r="MQE37" s="85"/>
      <c r="MQF37" s="85"/>
      <c r="MQG37" s="85"/>
      <c r="MQH37" s="85"/>
      <c r="MQI37" s="85"/>
      <c r="MQJ37" s="85"/>
      <c r="MQK37" s="85"/>
      <c r="MQL37" s="85"/>
      <c r="MQM37" s="85"/>
      <c r="MQN37" s="85"/>
      <c r="MQO37" s="85"/>
      <c r="MQP37" s="85"/>
      <c r="MQQ37" s="85"/>
      <c r="MQR37" s="85"/>
      <c r="MQS37" s="85"/>
      <c r="MQT37" s="85"/>
      <c r="MQU37" s="85"/>
      <c r="MQV37" s="85"/>
      <c r="MQW37" s="85"/>
      <c r="MQX37" s="85"/>
      <c r="MQY37" s="85"/>
      <c r="MQZ37" s="85"/>
      <c r="MRA37" s="85"/>
      <c r="MRB37" s="85"/>
      <c r="MRC37" s="85"/>
      <c r="MRD37" s="85"/>
      <c r="MRE37" s="85"/>
      <c r="MRF37" s="85"/>
      <c r="MRG37" s="85"/>
      <c r="MRH37" s="85"/>
      <c r="MRI37" s="85"/>
      <c r="MRJ37" s="85"/>
      <c r="MRK37" s="85"/>
      <c r="MRL37" s="85"/>
      <c r="MRM37" s="85"/>
      <c r="MRN37" s="85"/>
      <c r="MRO37" s="85"/>
      <c r="MRP37" s="85"/>
      <c r="MRQ37" s="85"/>
      <c r="MRR37" s="85"/>
      <c r="MRS37" s="85"/>
      <c r="MRT37" s="85"/>
      <c r="MRU37" s="85"/>
      <c r="MRV37" s="85"/>
      <c r="MRW37" s="85"/>
      <c r="MRX37" s="85"/>
      <c r="MRY37" s="85"/>
      <c r="MRZ37" s="85"/>
      <c r="MSA37" s="85"/>
      <c r="MSB37" s="85"/>
      <c r="MSC37" s="85"/>
      <c r="MSD37" s="85"/>
      <c r="MSE37" s="85"/>
      <c r="MSF37" s="85"/>
      <c r="MSG37" s="85"/>
      <c r="MSH37" s="85"/>
      <c r="MSI37" s="85"/>
      <c r="MSJ37" s="85"/>
      <c r="MSK37" s="85"/>
      <c r="MSL37" s="85"/>
      <c r="MSM37" s="85"/>
      <c r="MSN37" s="85"/>
      <c r="MSO37" s="85"/>
      <c r="MSP37" s="85"/>
      <c r="MSQ37" s="85"/>
      <c r="MSR37" s="85"/>
      <c r="MSS37" s="85"/>
      <c r="MST37" s="85"/>
      <c r="MSU37" s="85"/>
      <c r="MSV37" s="85"/>
      <c r="MSW37" s="85"/>
      <c r="MSX37" s="85"/>
      <c r="MSY37" s="85"/>
      <c r="MSZ37" s="85"/>
      <c r="MTA37" s="85"/>
      <c r="MTB37" s="85"/>
      <c r="MTC37" s="85"/>
      <c r="MTD37" s="85"/>
      <c r="MTE37" s="85"/>
      <c r="MTF37" s="85"/>
      <c r="MTG37" s="85"/>
      <c r="MTH37" s="85"/>
      <c r="MTI37" s="85"/>
      <c r="MTJ37" s="85"/>
      <c r="MTK37" s="85"/>
      <c r="MTL37" s="85"/>
      <c r="MTM37" s="85"/>
      <c r="MTN37" s="85"/>
      <c r="MTO37" s="85"/>
      <c r="MTP37" s="85"/>
      <c r="MTQ37" s="85"/>
      <c r="MTR37" s="85"/>
      <c r="MTS37" s="85"/>
      <c r="MTT37" s="85"/>
      <c r="MTU37" s="85"/>
      <c r="MTV37" s="85"/>
      <c r="MTW37" s="85"/>
      <c r="MTX37" s="85"/>
      <c r="MTY37" s="85"/>
      <c r="MTZ37" s="85"/>
      <c r="MUA37" s="85"/>
      <c r="MUB37" s="85"/>
      <c r="MUC37" s="85"/>
      <c r="MUD37" s="85"/>
      <c r="MUE37" s="85"/>
      <c r="MUF37" s="85"/>
      <c r="MUG37" s="85"/>
      <c r="MUH37" s="85"/>
      <c r="MUI37" s="85"/>
      <c r="MUJ37" s="85"/>
      <c r="MUK37" s="85"/>
      <c r="MUL37" s="85"/>
      <c r="MUM37" s="85"/>
      <c r="MUN37" s="85"/>
      <c r="MUO37" s="85"/>
      <c r="MUP37" s="85"/>
      <c r="MUQ37" s="85"/>
      <c r="MUR37" s="85"/>
      <c r="MUS37" s="85"/>
      <c r="MUT37" s="85"/>
      <c r="MUU37" s="85"/>
      <c r="MUV37" s="85"/>
      <c r="MUW37" s="85"/>
      <c r="MUX37" s="85"/>
      <c r="MUY37" s="85"/>
      <c r="MUZ37" s="85"/>
      <c r="MVA37" s="85"/>
      <c r="MVB37" s="85"/>
      <c r="MVC37" s="85"/>
      <c r="MVD37" s="85"/>
      <c r="MVE37" s="85"/>
      <c r="MVF37" s="85"/>
      <c r="MVG37" s="85"/>
      <c r="MVH37" s="85"/>
      <c r="MVI37" s="85"/>
      <c r="MVJ37" s="85"/>
      <c r="MVK37" s="85"/>
      <c r="MVL37" s="85"/>
      <c r="MVM37" s="85"/>
      <c r="MVN37" s="85"/>
      <c r="MVO37" s="85"/>
      <c r="MVP37" s="85"/>
      <c r="MVQ37" s="85"/>
      <c r="MVR37" s="85"/>
      <c r="MVS37" s="85"/>
      <c r="MVT37" s="85"/>
      <c r="MVU37" s="85"/>
      <c r="MVV37" s="85"/>
      <c r="MVW37" s="85"/>
      <c r="MVX37" s="85"/>
      <c r="MVY37" s="85"/>
      <c r="MVZ37" s="85"/>
      <c r="MWA37" s="85"/>
      <c r="MWB37" s="85"/>
      <c r="MWC37" s="85"/>
      <c r="MWD37" s="85"/>
      <c r="MWE37" s="85"/>
      <c r="MWF37" s="85"/>
      <c r="MWG37" s="85"/>
      <c r="MWH37" s="85"/>
      <c r="MWI37" s="85"/>
      <c r="MWJ37" s="85"/>
      <c r="MWK37" s="85"/>
      <c r="MWL37" s="85"/>
      <c r="MWM37" s="85"/>
      <c r="MWN37" s="85"/>
      <c r="MWO37" s="85"/>
      <c r="MWP37" s="85"/>
      <c r="MWQ37" s="85"/>
      <c r="MWR37" s="85"/>
      <c r="MWS37" s="85"/>
      <c r="MWT37" s="85"/>
      <c r="MWU37" s="85"/>
      <c r="MWV37" s="85"/>
      <c r="MWW37" s="85"/>
      <c r="MWX37" s="85"/>
      <c r="MWY37" s="85"/>
      <c r="MWZ37" s="85"/>
      <c r="MXA37" s="85"/>
      <c r="MXB37" s="85"/>
      <c r="MXC37" s="85"/>
      <c r="MXD37" s="85"/>
      <c r="MXE37" s="85"/>
      <c r="MXF37" s="85"/>
      <c r="MXG37" s="85"/>
      <c r="MXH37" s="85"/>
      <c r="MXI37" s="85"/>
      <c r="MXJ37" s="85"/>
      <c r="MXK37" s="85"/>
      <c r="MXL37" s="85"/>
      <c r="MXM37" s="85"/>
      <c r="MXN37" s="85"/>
      <c r="MXO37" s="85"/>
      <c r="MXP37" s="85"/>
      <c r="MXQ37" s="85"/>
      <c r="MXR37" s="85"/>
      <c r="MXS37" s="85"/>
      <c r="MXT37" s="85"/>
      <c r="MXU37" s="85"/>
      <c r="MXV37" s="85"/>
      <c r="MXW37" s="85"/>
      <c r="MXX37" s="85"/>
      <c r="MXY37" s="85"/>
      <c r="MXZ37" s="85"/>
      <c r="MYA37" s="85"/>
      <c r="MYB37" s="85"/>
      <c r="MYC37" s="85"/>
      <c r="MYD37" s="85"/>
      <c r="MYE37" s="85"/>
      <c r="MYF37" s="85"/>
      <c r="MYG37" s="85"/>
      <c r="MYH37" s="85"/>
      <c r="MYI37" s="85"/>
      <c r="MYJ37" s="85"/>
      <c r="MYK37" s="85"/>
      <c r="MYL37" s="85"/>
      <c r="MYM37" s="85"/>
      <c r="MYN37" s="85"/>
      <c r="MYO37" s="85"/>
      <c r="MYP37" s="85"/>
      <c r="MYQ37" s="85"/>
      <c r="MYR37" s="85"/>
      <c r="MYS37" s="85"/>
      <c r="MYT37" s="85"/>
      <c r="MYU37" s="85"/>
      <c r="MYV37" s="85"/>
      <c r="MYW37" s="85"/>
      <c r="MYX37" s="85"/>
      <c r="MYY37" s="85"/>
      <c r="MYZ37" s="85"/>
      <c r="MZA37" s="85"/>
      <c r="MZB37" s="85"/>
      <c r="MZC37" s="85"/>
      <c r="MZD37" s="85"/>
      <c r="MZE37" s="85"/>
      <c r="MZF37" s="85"/>
      <c r="MZG37" s="85"/>
      <c r="MZH37" s="85"/>
      <c r="MZI37" s="85"/>
      <c r="MZJ37" s="85"/>
      <c r="MZK37" s="85"/>
      <c r="MZL37" s="85"/>
      <c r="MZM37" s="85"/>
      <c r="MZN37" s="85"/>
      <c r="MZO37" s="85"/>
      <c r="MZP37" s="85"/>
      <c r="MZQ37" s="85"/>
      <c r="MZR37" s="85"/>
      <c r="MZS37" s="85"/>
      <c r="MZT37" s="85"/>
      <c r="MZU37" s="85"/>
      <c r="MZV37" s="85"/>
      <c r="MZW37" s="85"/>
      <c r="MZX37" s="85"/>
      <c r="MZY37" s="85"/>
      <c r="MZZ37" s="85"/>
      <c r="NAA37" s="85"/>
      <c r="NAB37" s="85"/>
      <c r="NAC37" s="85"/>
      <c r="NAD37" s="85"/>
      <c r="NAE37" s="85"/>
      <c r="NAF37" s="85"/>
      <c r="NAG37" s="85"/>
      <c r="NAH37" s="85"/>
      <c r="NAI37" s="85"/>
      <c r="NAJ37" s="85"/>
      <c r="NAK37" s="85"/>
      <c r="NAL37" s="85"/>
      <c r="NAM37" s="85"/>
      <c r="NAN37" s="85"/>
      <c r="NAO37" s="85"/>
      <c r="NAP37" s="85"/>
      <c r="NAQ37" s="85"/>
      <c r="NAR37" s="85"/>
      <c r="NAS37" s="85"/>
      <c r="NAT37" s="85"/>
      <c r="NAU37" s="85"/>
      <c r="NAV37" s="85"/>
      <c r="NAW37" s="85"/>
      <c r="NAX37" s="85"/>
      <c r="NAY37" s="85"/>
      <c r="NAZ37" s="85"/>
      <c r="NBA37" s="85"/>
      <c r="NBB37" s="85"/>
      <c r="NBC37" s="85"/>
      <c r="NBD37" s="85"/>
      <c r="NBE37" s="85"/>
      <c r="NBF37" s="85"/>
      <c r="NBG37" s="85"/>
      <c r="NBH37" s="85"/>
      <c r="NBI37" s="85"/>
      <c r="NBJ37" s="85"/>
      <c r="NBK37" s="85"/>
      <c r="NBL37" s="85"/>
      <c r="NBM37" s="85"/>
      <c r="NBN37" s="85"/>
      <c r="NBO37" s="85"/>
      <c r="NBP37" s="85"/>
      <c r="NBQ37" s="85"/>
      <c r="NBR37" s="85"/>
      <c r="NBS37" s="85"/>
      <c r="NBT37" s="85"/>
      <c r="NBU37" s="85"/>
      <c r="NBV37" s="85"/>
      <c r="NBW37" s="85"/>
      <c r="NBX37" s="85"/>
      <c r="NBY37" s="85"/>
      <c r="NBZ37" s="85"/>
      <c r="NCA37" s="85"/>
      <c r="NCB37" s="85"/>
      <c r="NCC37" s="85"/>
      <c r="NCD37" s="85"/>
      <c r="NCE37" s="85"/>
      <c r="NCF37" s="85"/>
      <c r="NCG37" s="85"/>
      <c r="NCH37" s="85"/>
      <c r="NCI37" s="85"/>
      <c r="NCJ37" s="85"/>
      <c r="NCK37" s="85"/>
      <c r="NCL37" s="85"/>
      <c r="NCM37" s="85"/>
      <c r="NCN37" s="85"/>
      <c r="NCO37" s="85"/>
      <c r="NCP37" s="85"/>
      <c r="NCQ37" s="85"/>
      <c r="NCR37" s="85"/>
      <c r="NCS37" s="85"/>
      <c r="NCT37" s="85"/>
      <c r="NCU37" s="85"/>
      <c r="NCV37" s="85"/>
      <c r="NCW37" s="85"/>
      <c r="NCX37" s="85"/>
      <c r="NCY37" s="85"/>
      <c r="NCZ37" s="85"/>
      <c r="NDA37" s="85"/>
      <c r="NDB37" s="85"/>
      <c r="NDC37" s="85"/>
      <c r="NDD37" s="85"/>
      <c r="NDE37" s="85"/>
      <c r="NDF37" s="85"/>
      <c r="NDG37" s="85"/>
      <c r="NDH37" s="85"/>
      <c r="NDI37" s="85"/>
      <c r="NDJ37" s="85"/>
      <c r="NDK37" s="85"/>
      <c r="NDL37" s="85"/>
      <c r="NDM37" s="85"/>
      <c r="NDN37" s="85"/>
      <c r="NDO37" s="85"/>
      <c r="NDP37" s="85"/>
      <c r="NDQ37" s="85"/>
      <c r="NDR37" s="85"/>
      <c r="NDS37" s="85"/>
      <c r="NDT37" s="85"/>
      <c r="NDU37" s="85"/>
      <c r="NDV37" s="85"/>
      <c r="NDW37" s="85"/>
      <c r="NDX37" s="85"/>
      <c r="NDY37" s="85"/>
      <c r="NDZ37" s="85"/>
      <c r="NEA37" s="85"/>
      <c r="NEB37" s="85"/>
      <c r="NEC37" s="85"/>
      <c r="NED37" s="85"/>
      <c r="NEE37" s="85"/>
      <c r="NEF37" s="85"/>
      <c r="NEG37" s="85"/>
      <c r="NEH37" s="85"/>
      <c r="NEI37" s="85"/>
      <c r="NEJ37" s="85"/>
      <c r="NEK37" s="85"/>
      <c r="NEL37" s="85"/>
      <c r="NEM37" s="85"/>
      <c r="NEN37" s="85"/>
      <c r="NEO37" s="85"/>
      <c r="NEP37" s="85"/>
      <c r="NEQ37" s="85"/>
      <c r="NER37" s="85"/>
      <c r="NES37" s="85"/>
      <c r="NET37" s="85"/>
      <c r="NEU37" s="85"/>
      <c r="NEV37" s="85"/>
      <c r="NEW37" s="85"/>
      <c r="NEX37" s="85"/>
      <c r="NEY37" s="85"/>
      <c r="NEZ37" s="85"/>
      <c r="NFA37" s="85"/>
      <c r="NFB37" s="85"/>
      <c r="NFC37" s="85"/>
      <c r="NFD37" s="85"/>
      <c r="NFE37" s="85"/>
      <c r="NFF37" s="85"/>
      <c r="NFG37" s="85"/>
      <c r="NFH37" s="85"/>
      <c r="NFI37" s="85"/>
      <c r="NFJ37" s="85"/>
      <c r="NFK37" s="85"/>
      <c r="NFL37" s="85"/>
      <c r="NFM37" s="85"/>
      <c r="NFN37" s="85"/>
      <c r="NFO37" s="85"/>
      <c r="NFP37" s="85"/>
      <c r="NFQ37" s="85"/>
      <c r="NFR37" s="85"/>
      <c r="NFS37" s="85"/>
      <c r="NFT37" s="85"/>
      <c r="NFU37" s="85"/>
      <c r="NFV37" s="85"/>
      <c r="NFW37" s="85"/>
      <c r="NFX37" s="85"/>
      <c r="NFY37" s="85"/>
      <c r="NFZ37" s="85"/>
      <c r="NGA37" s="85"/>
      <c r="NGB37" s="85"/>
      <c r="NGC37" s="85"/>
      <c r="NGD37" s="85"/>
      <c r="NGE37" s="85"/>
      <c r="NGF37" s="85"/>
      <c r="NGG37" s="85"/>
      <c r="NGH37" s="85"/>
      <c r="NGI37" s="85"/>
      <c r="NGJ37" s="85"/>
      <c r="NGK37" s="85"/>
      <c r="NGL37" s="85"/>
      <c r="NGM37" s="85"/>
      <c r="NGN37" s="85"/>
      <c r="NGO37" s="85"/>
      <c r="NGP37" s="85"/>
      <c r="NGQ37" s="85"/>
      <c r="NGR37" s="85"/>
      <c r="NGS37" s="85"/>
      <c r="NGT37" s="85"/>
      <c r="NGU37" s="85"/>
      <c r="NGV37" s="85"/>
      <c r="NGW37" s="85"/>
      <c r="NGX37" s="85"/>
      <c r="NGY37" s="85"/>
      <c r="NGZ37" s="85"/>
      <c r="NHA37" s="85"/>
      <c r="NHB37" s="85"/>
      <c r="NHC37" s="85"/>
      <c r="NHD37" s="85"/>
      <c r="NHE37" s="85"/>
      <c r="NHF37" s="85"/>
      <c r="NHG37" s="85"/>
      <c r="NHH37" s="85"/>
      <c r="NHI37" s="85"/>
      <c r="NHJ37" s="85"/>
      <c r="NHK37" s="85"/>
      <c r="NHL37" s="85"/>
      <c r="NHM37" s="85"/>
      <c r="NHN37" s="85"/>
      <c r="NHO37" s="85"/>
      <c r="NHP37" s="85"/>
      <c r="NHQ37" s="85"/>
      <c r="NHR37" s="85"/>
      <c r="NHS37" s="85"/>
      <c r="NHT37" s="85"/>
      <c r="NHU37" s="85"/>
      <c r="NHV37" s="85"/>
      <c r="NHW37" s="85"/>
      <c r="NHX37" s="85"/>
      <c r="NHY37" s="85"/>
      <c r="NHZ37" s="85"/>
      <c r="NIA37" s="85"/>
      <c r="NIB37" s="85"/>
      <c r="NIC37" s="85"/>
      <c r="NID37" s="85"/>
      <c r="NIE37" s="85"/>
      <c r="NIF37" s="85"/>
      <c r="NIG37" s="85"/>
      <c r="NIH37" s="85"/>
      <c r="NII37" s="85"/>
      <c r="NIJ37" s="85"/>
      <c r="NIK37" s="85"/>
      <c r="NIL37" s="85"/>
      <c r="NIM37" s="85"/>
      <c r="NIN37" s="85"/>
      <c r="NIO37" s="85"/>
      <c r="NIP37" s="85"/>
      <c r="NIQ37" s="85"/>
      <c r="NIR37" s="85"/>
      <c r="NIS37" s="85"/>
      <c r="NIT37" s="85"/>
      <c r="NIU37" s="85"/>
      <c r="NIV37" s="85"/>
      <c r="NIW37" s="85"/>
      <c r="NIX37" s="85"/>
      <c r="NIY37" s="85"/>
      <c r="NIZ37" s="85"/>
      <c r="NJA37" s="85"/>
      <c r="NJB37" s="85"/>
      <c r="NJC37" s="85"/>
      <c r="NJD37" s="85"/>
      <c r="NJE37" s="85"/>
      <c r="NJF37" s="85"/>
      <c r="NJG37" s="85"/>
      <c r="NJH37" s="85"/>
      <c r="NJI37" s="85"/>
      <c r="NJJ37" s="85"/>
      <c r="NJK37" s="85"/>
      <c r="NJL37" s="85"/>
      <c r="NJM37" s="85"/>
      <c r="NJN37" s="85"/>
      <c r="NJO37" s="85"/>
      <c r="NJP37" s="85"/>
      <c r="NJQ37" s="85"/>
      <c r="NJR37" s="85"/>
      <c r="NJS37" s="85"/>
      <c r="NJT37" s="85"/>
      <c r="NJU37" s="85"/>
      <c r="NJV37" s="85"/>
      <c r="NJW37" s="85"/>
      <c r="NJX37" s="85"/>
      <c r="NJY37" s="85"/>
      <c r="NJZ37" s="85"/>
      <c r="NKA37" s="85"/>
      <c r="NKB37" s="85"/>
      <c r="NKC37" s="85"/>
      <c r="NKD37" s="85"/>
      <c r="NKE37" s="85"/>
      <c r="NKF37" s="85"/>
      <c r="NKG37" s="85"/>
      <c r="NKH37" s="85"/>
      <c r="NKI37" s="85"/>
      <c r="NKJ37" s="85"/>
      <c r="NKK37" s="85"/>
      <c r="NKL37" s="85"/>
      <c r="NKM37" s="85"/>
      <c r="NKN37" s="85"/>
      <c r="NKO37" s="85"/>
      <c r="NKP37" s="85"/>
      <c r="NKQ37" s="85"/>
      <c r="NKR37" s="85"/>
      <c r="NKS37" s="85"/>
      <c r="NKT37" s="85"/>
      <c r="NKU37" s="85"/>
      <c r="NKV37" s="85"/>
      <c r="NKW37" s="85"/>
      <c r="NKX37" s="85"/>
      <c r="NKY37" s="85"/>
      <c r="NKZ37" s="85"/>
      <c r="NLA37" s="85"/>
      <c r="NLB37" s="85"/>
      <c r="NLC37" s="85"/>
      <c r="NLD37" s="85"/>
      <c r="NLE37" s="85"/>
      <c r="NLF37" s="85"/>
      <c r="NLG37" s="85"/>
      <c r="NLH37" s="85"/>
      <c r="NLI37" s="85"/>
      <c r="NLJ37" s="85"/>
      <c r="NLK37" s="85"/>
      <c r="NLL37" s="85"/>
      <c r="NLM37" s="85"/>
      <c r="NLN37" s="85"/>
      <c r="NLO37" s="85"/>
      <c r="NLP37" s="85"/>
      <c r="NLQ37" s="85"/>
      <c r="NLR37" s="85"/>
      <c r="NLS37" s="85"/>
      <c r="NLT37" s="85"/>
      <c r="NLU37" s="85"/>
      <c r="NLV37" s="85"/>
      <c r="NLW37" s="85"/>
      <c r="NLX37" s="85"/>
      <c r="NLY37" s="85"/>
      <c r="NLZ37" s="85"/>
      <c r="NMA37" s="85"/>
      <c r="NMB37" s="85"/>
      <c r="NMC37" s="85"/>
      <c r="NMD37" s="85"/>
      <c r="NME37" s="85"/>
      <c r="NMF37" s="85"/>
      <c r="NMG37" s="85"/>
      <c r="NMH37" s="85"/>
      <c r="NMI37" s="85"/>
      <c r="NMJ37" s="85"/>
      <c r="NMK37" s="85"/>
      <c r="NML37" s="85"/>
      <c r="NMM37" s="85"/>
      <c r="NMN37" s="85"/>
      <c r="NMO37" s="85"/>
      <c r="NMP37" s="85"/>
      <c r="NMQ37" s="85"/>
      <c r="NMR37" s="85"/>
      <c r="NMS37" s="85"/>
      <c r="NMT37" s="85"/>
      <c r="NMU37" s="85"/>
      <c r="NMV37" s="85"/>
      <c r="NMW37" s="85"/>
      <c r="NMX37" s="85"/>
      <c r="NMY37" s="85"/>
      <c r="NMZ37" s="85"/>
      <c r="NNA37" s="85"/>
      <c r="NNB37" s="85"/>
      <c r="NNC37" s="85"/>
      <c r="NND37" s="85"/>
      <c r="NNE37" s="85"/>
      <c r="NNF37" s="85"/>
      <c r="NNG37" s="85"/>
      <c r="NNH37" s="85"/>
      <c r="NNI37" s="85"/>
      <c r="NNJ37" s="85"/>
      <c r="NNK37" s="85"/>
      <c r="NNL37" s="85"/>
      <c r="NNM37" s="85"/>
      <c r="NNN37" s="85"/>
      <c r="NNO37" s="85"/>
      <c r="NNP37" s="85"/>
      <c r="NNQ37" s="85"/>
      <c r="NNR37" s="85"/>
      <c r="NNS37" s="85"/>
      <c r="NNT37" s="85"/>
      <c r="NNU37" s="85"/>
      <c r="NNV37" s="85"/>
      <c r="NNW37" s="85"/>
      <c r="NNX37" s="85"/>
      <c r="NNY37" s="85"/>
      <c r="NNZ37" s="85"/>
      <c r="NOA37" s="85"/>
      <c r="NOB37" s="85"/>
      <c r="NOC37" s="85"/>
      <c r="NOD37" s="85"/>
      <c r="NOE37" s="85"/>
      <c r="NOF37" s="85"/>
      <c r="NOG37" s="85"/>
      <c r="NOH37" s="85"/>
      <c r="NOI37" s="85"/>
      <c r="NOJ37" s="85"/>
      <c r="NOK37" s="85"/>
      <c r="NOL37" s="85"/>
      <c r="NOM37" s="85"/>
      <c r="NON37" s="85"/>
      <c r="NOO37" s="85"/>
      <c r="NOP37" s="85"/>
      <c r="NOQ37" s="85"/>
      <c r="NOR37" s="85"/>
      <c r="NOS37" s="85"/>
      <c r="NOT37" s="85"/>
      <c r="NOU37" s="85"/>
      <c r="NOV37" s="85"/>
      <c r="NOW37" s="85"/>
      <c r="NOX37" s="85"/>
      <c r="NOY37" s="85"/>
      <c r="NOZ37" s="85"/>
      <c r="NPA37" s="85"/>
      <c r="NPB37" s="85"/>
      <c r="NPC37" s="85"/>
      <c r="NPD37" s="85"/>
      <c r="NPE37" s="85"/>
      <c r="NPF37" s="85"/>
      <c r="NPG37" s="85"/>
      <c r="NPH37" s="85"/>
      <c r="NPI37" s="85"/>
      <c r="NPJ37" s="85"/>
      <c r="NPK37" s="85"/>
      <c r="NPL37" s="85"/>
      <c r="NPM37" s="85"/>
      <c r="NPN37" s="85"/>
      <c r="NPO37" s="85"/>
      <c r="NPP37" s="85"/>
      <c r="NPQ37" s="85"/>
      <c r="NPR37" s="85"/>
      <c r="NPS37" s="85"/>
      <c r="NPT37" s="85"/>
      <c r="NPU37" s="85"/>
      <c r="NPV37" s="85"/>
      <c r="NPW37" s="85"/>
      <c r="NPX37" s="85"/>
      <c r="NPY37" s="85"/>
      <c r="NPZ37" s="85"/>
      <c r="NQA37" s="85"/>
      <c r="NQB37" s="85"/>
      <c r="NQC37" s="85"/>
      <c r="NQD37" s="85"/>
      <c r="NQE37" s="85"/>
      <c r="NQF37" s="85"/>
      <c r="NQG37" s="85"/>
      <c r="NQH37" s="85"/>
      <c r="NQI37" s="85"/>
      <c r="NQJ37" s="85"/>
      <c r="NQK37" s="85"/>
      <c r="NQL37" s="85"/>
      <c r="NQM37" s="85"/>
      <c r="NQN37" s="85"/>
      <c r="NQO37" s="85"/>
      <c r="NQP37" s="85"/>
      <c r="NQQ37" s="85"/>
      <c r="NQR37" s="85"/>
      <c r="NQS37" s="85"/>
      <c r="NQT37" s="85"/>
      <c r="NQU37" s="85"/>
      <c r="NQV37" s="85"/>
      <c r="NQW37" s="85"/>
      <c r="NQX37" s="85"/>
      <c r="NQY37" s="85"/>
      <c r="NQZ37" s="85"/>
      <c r="NRA37" s="85"/>
      <c r="NRB37" s="85"/>
      <c r="NRC37" s="85"/>
      <c r="NRD37" s="85"/>
      <c r="NRE37" s="85"/>
      <c r="NRF37" s="85"/>
      <c r="NRG37" s="85"/>
      <c r="NRH37" s="85"/>
      <c r="NRI37" s="85"/>
      <c r="NRJ37" s="85"/>
      <c r="NRK37" s="85"/>
      <c r="NRL37" s="85"/>
      <c r="NRM37" s="85"/>
      <c r="NRN37" s="85"/>
      <c r="NRO37" s="85"/>
      <c r="NRP37" s="85"/>
      <c r="NRQ37" s="85"/>
      <c r="NRR37" s="85"/>
      <c r="NRS37" s="85"/>
      <c r="NRT37" s="85"/>
      <c r="NRU37" s="85"/>
      <c r="NRV37" s="85"/>
      <c r="NRW37" s="85"/>
      <c r="NRX37" s="85"/>
      <c r="NRY37" s="85"/>
      <c r="NRZ37" s="85"/>
      <c r="NSA37" s="85"/>
      <c r="NSB37" s="85"/>
      <c r="NSC37" s="85"/>
      <c r="NSD37" s="85"/>
      <c r="NSE37" s="85"/>
      <c r="NSF37" s="85"/>
      <c r="NSG37" s="85"/>
      <c r="NSH37" s="85"/>
      <c r="NSI37" s="85"/>
      <c r="NSJ37" s="85"/>
      <c r="NSK37" s="85"/>
      <c r="NSL37" s="85"/>
      <c r="NSM37" s="85"/>
      <c r="NSN37" s="85"/>
      <c r="NSO37" s="85"/>
      <c r="NSP37" s="85"/>
      <c r="NSQ37" s="85"/>
      <c r="NSR37" s="85"/>
      <c r="NSS37" s="85"/>
      <c r="NST37" s="85"/>
      <c r="NSU37" s="85"/>
      <c r="NSV37" s="85"/>
      <c r="NSW37" s="85"/>
      <c r="NSX37" s="85"/>
      <c r="NSY37" s="85"/>
      <c r="NSZ37" s="85"/>
      <c r="NTA37" s="85"/>
      <c r="NTB37" s="85"/>
      <c r="NTC37" s="85"/>
      <c r="NTD37" s="85"/>
      <c r="NTE37" s="85"/>
      <c r="NTF37" s="85"/>
      <c r="NTG37" s="85"/>
      <c r="NTH37" s="85"/>
      <c r="NTI37" s="85"/>
      <c r="NTJ37" s="85"/>
      <c r="NTK37" s="85"/>
      <c r="NTL37" s="85"/>
      <c r="NTM37" s="85"/>
      <c r="NTN37" s="85"/>
      <c r="NTO37" s="85"/>
      <c r="NTP37" s="85"/>
      <c r="NTQ37" s="85"/>
      <c r="NTR37" s="85"/>
      <c r="NTS37" s="85"/>
      <c r="NTT37" s="85"/>
      <c r="NTU37" s="85"/>
      <c r="NTV37" s="85"/>
      <c r="NTW37" s="85"/>
      <c r="NTX37" s="85"/>
      <c r="NTY37" s="85"/>
      <c r="NTZ37" s="85"/>
      <c r="NUA37" s="85"/>
      <c r="NUB37" s="85"/>
      <c r="NUC37" s="85"/>
      <c r="NUD37" s="85"/>
      <c r="NUE37" s="85"/>
      <c r="NUF37" s="85"/>
      <c r="NUG37" s="85"/>
      <c r="NUH37" s="85"/>
      <c r="NUI37" s="85"/>
      <c r="NUJ37" s="85"/>
      <c r="NUK37" s="85"/>
      <c r="NUL37" s="85"/>
      <c r="NUM37" s="85"/>
      <c r="NUN37" s="85"/>
      <c r="NUO37" s="85"/>
      <c r="NUP37" s="85"/>
      <c r="NUQ37" s="85"/>
      <c r="NUR37" s="85"/>
      <c r="NUS37" s="85"/>
      <c r="NUT37" s="85"/>
      <c r="NUU37" s="85"/>
      <c r="NUV37" s="85"/>
      <c r="NUW37" s="85"/>
      <c r="NUX37" s="85"/>
      <c r="NUY37" s="85"/>
      <c r="NUZ37" s="85"/>
      <c r="NVA37" s="85"/>
      <c r="NVB37" s="85"/>
      <c r="NVC37" s="85"/>
      <c r="NVD37" s="85"/>
      <c r="NVE37" s="85"/>
      <c r="NVF37" s="85"/>
      <c r="NVG37" s="85"/>
      <c r="NVH37" s="85"/>
      <c r="NVI37" s="85"/>
      <c r="NVJ37" s="85"/>
      <c r="NVK37" s="85"/>
      <c r="NVL37" s="85"/>
      <c r="NVM37" s="85"/>
      <c r="NVN37" s="85"/>
      <c r="NVO37" s="85"/>
      <c r="NVP37" s="85"/>
      <c r="NVQ37" s="85"/>
      <c r="NVR37" s="85"/>
      <c r="NVS37" s="85"/>
      <c r="NVT37" s="85"/>
      <c r="NVU37" s="85"/>
      <c r="NVV37" s="85"/>
      <c r="NVW37" s="85"/>
      <c r="NVX37" s="85"/>
      <c r="NVY37" s="85"/>
      <c r="NVZ37" s="85"/>
      <c r="NWA37" s="85"/>
      <c r="NWB37" s="85"/>
      <c r="NWC37" s="85"/>
      <c r="NWD37" s="85"/>
      <c r="NWE37" s="85"/>
      <c r="NWF37" s="85"/>
      <c r="NWG37" s="85"/>
      <c r="NWH37" s="85"/>
      <c r="NWI37" s="85"/>
      <c r="NWJ37" s="85"/>
      <c r="NWK37" s="85"/>
      <c r="NWL37" s="85"/>
      <c r="NWM37" s="85"/>
      <c r="NWN37" s="85"/>
      <c r="NWO37" s="85"/>
      <c r="NWP37" s="85"/>
      <c r="NWQ37" s="85"/>
      <c r="NWR37" s="85"/>
      <c r="NWS37" s="85"/>
      <c r="NWT37" s="85"/>
      <c r="NWU37" s="85"/>
      <c r="NWV37" s="85"/>
      <c r="NWW37" s="85"/>
      <c r="NWX37" s="85"/>
      <c r="NWY37" s="85"/>
      <c r="NWZ37" s="85"/>
      <c r="NXA37" s="85"/>
      <c r="NXB37" s="85"/>
      <c r="NXC37" s="85"/>
      <c r="NXD37" s="85"/>
      <c r="NXE37" s="85"/>
      <c r="NXF37" s="85"/>
      <c r="NXG37" s="85"/>
      <c r="NXH37" s="85"/>
      <c r="NXI37" s="85"/>
      <c r="NXJ37" s="85"/>
      <c r="NXK37" s="85"/>
      <c r="NXL37" s="85"/>
      <c r="NXM37" s="85"/>
      <c r="NXN37" s="85"/>
      <c r="NXO37" s="85"/>
      <c r="NXP37" s="85"/>
      <c r="NXQ37" s="85"/>
      <c r="NXR37" s="85"/>
      <c r="NXS37" s="85"/>
      <c r="NXT37" s="85"/>
      <c r="NXU37" s="85"/>
      <c r="NXV37" s="85"/>
      <c r="NXW37" s="85"/>
      <c r="NXX37" s="85"/>
      <c r="NXY37" s="85"/>
      <c r="NXZ37" s="85"/>
      <c r="NYA37" s="85"/>
      <c r="NYB37" s="85"/>
      <c r="NYC37" s="85"/>
      <c r="NYD37" s="85"/>
      <c r="NYE37" s="85"/>
      <c r="NYF37" s="85"/>
      <c r="NYG37" s="85"/>
      <c r="NYH37" s="85"/>
      <c r="NYI37" s="85"/>
      <c r="NYJ37" s="85"/>
      <c r="NYK37" s="85"/>
      <c r="NYL37" s="85"/>
      <c r="NYM37" s="85"/>
      <c r="NYN37" s="85"/>
      <c r="NYO37" s="85"/>
      <c r="NYP37" s="85"/>
      <c r="NYQ37" s="85"/>
      <c r="NYR37" s="85"/>
      <c r="NYS37" s="85"/>
      <c r="NYT37" s="85"/>
      <c r="NYU37" s="85"/>
      <c r="NYV37" s="85"/>
      <c r="NYW37" s="85"/>
      <c r="NYX37" s="85"/>
      <c r="NYY37" s="85"/>
      <c r="NYZ37" s="85"/>
      <c r="NZA37" s="85"/>
      <c r="NZB37" s="85"/>
      <c r="NZC37" s="85"/>
      <c r="NZD37" s="85"/>
      <c r="NZE37" s="85"/>
      <c r="NZF37" s="85"/>
      <c r="NZG37" s="85"/>
      <c r="NZH37" s="85"/>
      <c r="NZI37" s="85"/>
      <c r="NZJ37" s="85"/>
      <c r="NZK37" s="85"/>
      <c r="NZL37" s="85"/>
      <c r="NZM37" s="85"/>
      <c r="NZN37" s="85"/>
      <c r="NZO37" s="85"/>
      <c r="NZP37" s="85"/>
      <c r="NZQ37" s="85"/>
      <c r="NZR37" s="85"/>
      <c r="NZS37" s="85"/>
      <c r="NZT37" s="85"/>
      <c r="NZU37" s="85"/>
      <c r="NZV37" s="85"/>
      <c r="NZW37" s="85"/>
      <c r="NZX37" s="85"/>
      <c r="NZY37" s="85"/>
      <c r="NZZ37" s="85"/>
      <c r="OAA37" s="85"/>
      <c r="OAB37" s="85"/>
      <c r="OAC37" s="85"/>
      <c r="OAD37" s="85"/>
      <c r="OAE37" s="85"/>
      <c r="OAF37" s="85"/>
      <c r="OAG37" s="85"/>
      <c r="OAH37" s="85"/>
      <c r="OAI37" s="85"/>
      <c r="OAJ37" s="85"/>
      <c r="OAK37" s="85"/>
      <c r="OAL37" s="85"/>
      <c r="OAM37" s="85"/>
      <c r="OAN37" s="85"/>
      <c r="OAO37" s="85"/>
      <c r="OAP37" s="85"/>
      <c r="OAQ37" s="85"/>
      <c r="OAR37" s="85"/>
      <c r="OAS37" s="85"/>
      <c r="OAT37" s="85"/>
      <c r="OAU37" s="85"/>
      <c r="OAV37" s="85"/>
      <c r="OAW37" s="85"/>
      <c r="OAX37" s="85"/>
      <c r="OAY37" s="85"/>
      <c r="OAZ37" s="85"/>
      <c r="OBA37" s="85"/>
      <c r="OBB37" s="85"/>
      <c r="OBC37" s="85"/>
      <c r="OBD37" s="85"/>
      <c r="OBE37" s="85"/>
      <c r="OBF37" s="85"/>
      <c r="OBG37" s="85"/>
      <c r="OBH37" s="85"/>
      <c r="OBI37" s="85"/>
      <c r="OBJ37" s="85"/>
      <c r="OBK37" s="85"/>
      <c r="OBL37" s="85"/>
      <c r="OBM37" s="85"/>
      <c r="OBN37" s="85"/>
      <c r="OBO37" s="85"/>
      <c r="OBP37" s="85"/>
      <c r="OBQ37" s="85"/>
      <c r="OBR37" s="85"/>
      <c r="OBS37" s="85"/>
      <c r="OBT37" s="85"/>
      <c r="OBU37" s="85"/>
      <c r="OBV37" s="85"/>
      <c r="OBW37" s="85"/>
      <c r="OBX37" s="85"/>
      <c r="OBY37" s="85"/>
      <c r="OBZ37" s="85"/>
      <c r="OCA37" s="85"/>
      <c r="OCB37" s="85"/>
      <c r="OCC37" s="85"/>
      <c r="OCD37" s="85"/>
      <c r="OCE37" s="85"/>
      <c r="OCF37" s="85"/>
      <c r="OCG37" s="85"/>
      <c r="OCH37" s="85"/>
      <c r="OCI37" s="85"/>
      <c r="OCJ37" s="85"/>
      <c r="OCK37" s="85"/>
      <c r="OCL37" s="85"/>
      <c r="OCM37" s="85"/>
      <c r="OCN37" s="85"/>
      <c r="OCO37" s="85"/>
      <c r="OCP37" s="85"/>
      <c r="OCQ37" s="85"/>
      <c r="OCR37" s="85"/>
      <c r="OCS37" s="85"/>
      <c r="OCT37" s="85"/>
      <c r="OCU37" s="85"/>
      <c r="OCV37" s="85"/>
      <c r="OCW37" s="85"/>
      <c r="OCX37" s="85"/>
      <c r="OCY37" s="85"/>
      <c r="OCZ37" s="85"/>
      <c r="ODA37" s="85"/>
      <c r="ODB37" s="85"/>
      <c r="ODC37" s="85"/>
      <c r="ODD37" s="85"/>
      <c r="ODE37" s="85"/>
      <c r="ODF37" s="85"/>
      <c r="ODG37" s="85"/>
      <c r="ODH37" s="85"/>
      <c r="ODI37" s="85"/>
      <c r="ODJ37" s="85"/>
      <c r="ODK37" s="85"/>
      <c r="ODL37" s="85"/>
      <c r="ODM37" s="85"/>
      <c r="ODN37" s="85"/>
      <c r="ODO37" s="85"/>
      <c r="ODP37" s="85"/>
      <c r="ODQ37" s="85"/>
      <c r="ODR37" s="85"/>
      <c r="ODS37" s="85"/>
      <c r="ODT37" s="85"/>
      <c r="ODU37" s="85"/>
      <c r="ODV37" s="85"/>
      <c r="ODW37" s="85"/>
      <c r="ODX37" s="85"/>
      <c r="ODY37" s="85"/>
      <c r="ODZ37" s="85"/>
      <c r="OEA37" s="85"/>
      <c r="OEB37" s="85"/>
      <c r="OEC37" s="85"/>
      <c r="OED37" s="85"/>
      <c r="OEE37" s="85"/>
      <c r="OEF37" s="85"/>
      <c r="OEG37" s="85"/>
      <c r="OEH37" s="85"/>
      <c r="OEI37" s="85"/>
      <c r="OEJ37" s="85"/>
      <c r="OEK37" s="85"/>
      <c r="OEL37" s="85"/>
      <c r="OEM37" s="85"/>
      <c r="OEN37" s="85"/>
      <c r="OEO37" s="85"/>
      <c r="OEP37" s="85"/>
      <c r="OEQ37" s="85"/>
      <c r="OER37" s="85"/>
      <c r="OES37" s="85"/>
      <c r="OET37" s="85"/>
      <c r="OEU37" s="85"/>
      <c r="OEV37" s="85"/>
      <c r="OEW37" s="85"/>
      <c r="OEX37" s="85"/>
      <c r="OEY37" s="85"/>
      <c r="OEZ37" s="85"/>
      <c r="OFA37" s="85"/>
      <c r="OFB37" s="85"/>
      <c r="OFC37" s="85"/>
      <c r="OFD37" s="85"/>
      <c r="OFE37" s="85"/>
      <c r="OFF37" s="85"/>
      <c r="OFG37" s="85"/>
      <c r="OFH37" s="85"/>
      <c r="OFI37" s="85"/>
      <c r="OFJ37" s="85"/>
      <c r="OFK37" s="85"/>
      <c r="OFL37" s="85"/>
      <c r="OFM37" s="85"/>
      <c r="OFN37" s="85"/>
      <c r="OFO37" s="85"/>
      <c r="OFP37" s="85"/>
      <c r="OFQ37" s="85"/>
      <c r="OFR37" s="85"/>
      <c r="OFS37" s="85"/>
      <c r="OFT37" s="85"/>
      <c r="OFU37" s="85"/>
      <c r="OFV37" s="85"/>
      <c r="OFW37" s="85"/>
      <c r="OFX37" s="85"/>
      <c r="OFY37" s="85"/>
      <c r="OFZ37" s="85"/>
      <c r="OGA37" s="85"/>
      <c r="OGB37" s="85"/>
      <c r="OGC37" s="85"/>
      <c r="OGD37" s="85"/>
      <c r="OGE37" s="85"/>
      <c r="OGF37" s="85"/>
      <c r="OGG37" s="85"/>
      <c r="OGH37" s="85"/>
      <c r="OGI37" s="85"/>
      <c r="OGJ37" s="85"/>
      <c r="OGK37" s="85"/>
      <c r="OGL37" s="85"/>
      <c r="OGM37" s="85"/>
      <c r="OGN37" s="85"/>
      <c r="OGO37" s="85"/>
      <c r="OGP37" s="85"/>
      <c r="OGQ37" s="85"/>
      <c r="OGR37" s="85"/>
      <c r="OGS37" s="85"/>
      <c r="OGT37" s="85"/>
      <c r="OGU37" s="85"/>
      <c r="OGV37" s="85"/>
      <c r="OGW37" s="85"/>
      <c r="OGX37" s="85"/>
      <c r="OGY37" s="85"/>
      <c r="OGZ37" s="85"/>
      <c r="OHA37" s="85"/>
      <c r="OHB37" s="85"/>
      <c r="OHC37" s="85"/>
      <c r="OHD37" s="85"/>
      <c r="OHE37" s="85"/>
      <c r="OHF37" s="85"/>
      <c r="OHG37" s="85"/>
      <c r="OHH37" s="85"/>
      <c r="OHI37" s="85"/>
      <c r="OHJ37" s="85"/>
      <c r="OHK37" s="85"/>
      <c r="OHL37" s="85"/>
      <c r="OHM37" s="85"/>
      <c r="OHN37" s="85"/>
      <c r="OHO37" s="85"/>
      <c r="OHP37" s="85"/>
      <c r="OHQ37" s="85"/>
      <c r="OHR37" s="85"/>
      <c r="OHS37" s="85"/>
      <c r="OHT37" s="85"/>
      <c r="OHU37" s="85"/>
      <c r="OHV37" s="85"/>
      <c r="OHW37" s="85"/>
      <c r="OHX37" s="85"/>
      <c r="OHY37" s="85"/>
      <c r="OHZ37" s="85"/>
      <c r="OIA37" s="85"/>
      <c r="OIB37" s="85"/>
      <c r="OIC37" s="85"/>
      <c r="OID37" s="85"/>
      <c r="OIE37" s="85"/>
      <c r="OIF37" s="85"/>
      <c r="OIG37" s="85"/>
      <c r="OIH37" s="85"/>
      <c r="OII37" s="85"/>
      <c r="OIJ37" s="85"/>
      <c r="OIK37" s="85"/>
      <c r="OIL37" s="85"/>
      <c r="OIM37" s="85"/>
      <c r="OIN37" s="85"/>
      <c r="OIO37" s="85"/>
      <c r="OIP37" s="85"/>
      <c r="OIQ37" s="85"/>
      <c r="OIR37" s="85"/>
      <c r="OIS37" s="85"/>
      <c r="OIT37" s="85"/>
      <c r="OIU37" s="85"/>
      <c r="OIV37" s="85"/>
      <c r="OIW37" s="85"/>
      <c r="OIX37" s="85"/>
      <c r="OIY37" s="85"/>
      <c r="OIZ37" s="85"/>
      <c r="OJA37" s="85"/>
      <c r="OJB37" s="85"/>
      <c r="OJC37" s="85"/>
      <c r="OJD37" s="85"/>
      <c r="OJE37" s="85"/>
      <c r="OJF37" s="85"/>
      <c r="OJG37" s="85"/>
      <c r="OJH37" s="85"/>
      <c r="OJI37" s="85"/>
      <c r="OJJ37" s="85"/>
      <c r="OJK37" s="85"/>
      <c r="OJL37" s="85"/>
      <c r="OJM37" s="85"/>
      <c r="OJN37" s="85"/>
      <c r="OJO37" s="85"/>
      <c r="OJP37" s="85"/>
      <c r="OJQ37" s="85"/>
      <c r="OJR37" s="85"/>
      <c r="OJS37" s="85"/>
      <c r="OJT37" s="85"/>
      <c r="OJU37" s="85"/>
      <c r="OJV37" s="85"/>
      <c r="OJW37" s="85"/>
      <c r="OJX37" s="85"/>
      <c r="OJY37" s="85"/>
      <c r="OJZ37" s="85"/>
      <c r="OKA37" s="85"/>
      <c r="OKB37" s="85"/>
      <c r="OKC37" s="85"/>
      <c r="OKD37" s="85"/>
      <c r="OKE37" s="85"/>
      <c r="OKF37" s="85"/>
      <c r="OKG37" s="85"/>
      <c r="OKH37" s="85"/>
      <c r="OKI37" s="85"/>
      <c r="OKJ37" s="85"/>
      <c r="OKK37" s="85"/>
      <c r="OKL37" s="85"/>
      <c r="OKM37" s="85"/>
      <c r="OKN37" s="85"/>
      <c r="OKO37" s="85"/>
      <c r="OKP37" s="85"/>
      <c r="OKQ37" s="85"/>
      <c r="OKR37" s="85"/>
      <c r="OKS37" s="85"/>
      <c r="OKT37" s="85"/>
      <c r="OKU37" s="85"/>
      <c r="OKV37" s="85"/>
      <c r="OKW37" s="85"/>
      <c r="OKX37" s="85"/>
      <c r="OKY37" s="85"/>
      <c r="OKZ37" s="85"/>
      <c r="OLA37" s="85"/>
      <c r="OLB37" s="85"/>
      <c r="OLC37" s="85"/>
      <c r="OLD37" s="85"/>
      <c r="OLE37" s="85"/>
      <c r="OLF37" s="85"/>
      <c r="OLG37" s="85"/>
      <c r="OLH37" s="85"/>
      <c r="OLI37" s="85"/>
      <c r="OLJ37" s="85"/>
      <c r="OLK37" s="85"/>
      <c r="OLL37" s="85"/>
      <c r="OLM37" s="85"/>
      <c r="OLN37" s="85"/>
      <c r="OLO37" s="85"/>
      <c r="OLP37" s="85"/>
      <c r="OLQ37" s="85"/>
      <c r="OLR37" s="85"/>
      <c r="OLS37" s="85"/>
      <c r="OLT37" s="85"/>
      <c r="OLU37" s="85"/>
      <c r="OLV37" s="85"/>
      <c r="OLW37" s="85"/>
      <c r="OLX37" s="85"/>
      <c r="OLY37" s="85"/>
      <c r="OLZ37" s="85"/>
      <c r="OMA37" s="85"/>
      <c r="OMB37" s="85"/>
      <c r="OMC37" s="85"/>
      <c r="OMD37" s="85"/>
      <c r="OME37" s="85"/>
      <c r="OMF37" s="85"/>
      <c r="OMG37" s="85"/>
      <c r="OMH37" s="85"/>
      <c r="OMI37" s="85"/>
      <c r="OMJ37" s="85"/>
      <c r="OMK37" s="85"/>
      <c r="OML37" s="85"/>
      <c r="OMM37" s="85"/>
      <c r="OMN37" s="85"/>
      <c r="OMO37" s="85"/>
      <c r="OMP37" s="85"/>
      <c r="OMQ37" s="85"/>
      <c r="OMR37" s="85"/>
      <c r="OMS37" s="85"/>
      <c r="OMT37" s="85"/>
      <c r="OMU37" s="85"/>
      <c r="OMV37" s="85"/>
      <c r="OMW37" s="85"/>
      <c r="OMX37" s="85"/>
      <c r="OMY37" s="85"/>
      <c r="OMZ37" s="85"/>
      <c r="ONA37" s="85"/>
      <c r="ONB37" s="85"/>
      <c r="ONC37" s="85"/>
      <c r="OND37" s="85"/>
      <c r="ONE37" s="85"/>
      <c r="ONF37" s="85"/>
      <c r="ONG37" s="85"/>
      <c r="ONH37" s="85"/>
      <c r="ONI37" s="85"/>
      <c r="ONJ37" s="85"/>
      <c r="ONK37" s="85"/>
      <c r="ONL37" s="85"/>
      <c r="ONM37" s="85"/>
      <c r="ONN37" s="85"/>
      <c r="ONO37" s="85"/>
      <c r="ONP37" s="85"/>
      <c r="ONQ37" s="85"/>
      <c r="ONR37" s="85"/>
      <c r="ONS37" s="85"/>
      <c r="ONT37" s="85"/>
      <c r="ONU37" s="85"/>
      <c r="ONV37" s="85"/>
      <c r="ONW37" s="85"/>
      <c r="ONX37" s="85"/>
      <c r="ONY37" s="85"/>
      <c r="ONZ37" s="85"/>
      <c r="OOA37" s="85"/>
      <c r="OOB37" s="85"/>
      <c r="OOC37" s="85"/>
      <c r="OOD37" s="85"/>
      <c r="OOE37" s="85"/>
      <c r="OOF37" s="85"/>
      <c r="OOG37" s="85"/>
      <c r="OOH37" s="85"/>
      <c r="OOI37" s="85"/>
      <c r="OOJ37" s="85"/>
      <c r="OOK37" s="85"/>
      <c r="OOL37" s="85"/>
      <c r="OOM37" s="85"/>
      <c r="OON37" s="85"/>
      <c r="OOO37" s="85"/>
      <c r="OOP37" s="85"/>
      <c r="OOQ37" s="85"/>
      <c r="OOR37" s="85"/>
      <c r="OOS37" s="85"/>
      <c r="OOT37" s="85"/>
      <c r="OOU37" s="85"/>
      <c r="OOV37" s="85"/>
      <c r="OOW37" s="85"/>
      <c r="OOX37" s="85"/>
      <c r="OOY37" s="85"/>
      <c r="OOZ37" s="85"/>
      <c r="OPA37" s="85"/>
      <c r="OPB37" s="85"/>
      <c r="OPC37" s="85"/>
      <c r="OPD37" s="85"/>
      <c r="OPE37" s="85"/>
      <c r="OPF37" s="85"/>
      <c r="OPG37" s="85"/>
      <c r="OPH37" s="85"/>
      <c r="OPI37" s="85"/>
      <c r="OPJ37" s="85"/>
      <c r="OPK37" s="85"/>
      <c r="OPL37" s="85"/>
      <c r="OPM37" s="85"/>
      <c r="OPN37" s="85"/>
      <c r="OPO37" s="85"/>
      <c r="OPP37" s="85"/>
      <c r="OPQ37" s="85"/>
      <c r="OPR37" s="85"/>
      <c r="OPS37" s="85"/>
      <c r="OPT37" s="85"/>
      <c r="OPU37" s="85"/>
      <c r="OPV37" s="85"/>
      <c r="OPW37" s="85"/>
      <c r="OPX37" s="85"/>
      <c r="OPY37" s="85"/>
      <c r="OPZ37" s="85"/>
      <c r="OQA37" s="85"/>
      <c r="OQB37" s="85"/>
      <c r="OQC37" s="85"/>
      <c r="OQD37" s="85"/>
      <c r="OQE37" s="85"/>
      <c r="OQF37" s="85"/>
      <c r="OQG37" s="85"/>
      <c r="OQH37" s="85"/>
      <c r="OQI37" s="85"/>
      <c r="OQJ37" s="85"/>
      <c r="OQK37" s="85"/>
      <c r="OQL37" s="85"/>
      <c r="OQM37" s="85"/>
      <c r="OQN37" s="85"/>
      <c r="OQO37" s="85"/>
      <c r="OQP37" s="85"/>
      <c r="OQQ37" s="85"/>
      <c r="OQR37" s="85"/>
      <c r="OQS37" s="85"/>
      <c r="OQT37" s="85"/>
      <c r="OQU37" s="85"/>
      <c r="OQV37" s="85"/>
      <c r="OQW37" s="85"/>
      <c r="OQX37" s="85"/>
      <c r="OQY37" s="85"/>
      <c r="OQZ37" s="85"/>
      <c r="ORA37" s="85"/>
      <c r="ORB37" s="85"/>
      <c r="ORC37" s="85"/>
      <c r="ORD37" s="85"/>
      <c r="ORE37" s="85"/>
      <c r="ORF37" s="85"/>
      <c r="ORG37" s="85"/>
      <c r="ORH37" s="85"/>
      <c r="ORI37" s="85"/>
      <c r="ORJ37" s="85"/>
      <c r="ORK37" s="85"/>
      <c r="ORL37" s="85"/>
      <c r="ORM37" s="85"/>
      <c r="ORN37" s="85"/>
      <c r="ORO37" s="85"/>
      <c r="ORP37" s="85"/>
      <c r="ORQ37" s="85"/>
      <c r="ORR37" s="85"/>
      <c r="ORS37" s="85"/>
      <c r="ORT37" s="85"/>
      <c r="ORU37" s="85"/>
      <c r="ORV37" s="85"/>
      <c r="ORW37" s="85"/>
      <c r="ORX37" s="85"/>
      <c r="ORY37" s="85"/>
      <c r="ORZ37" s="85"/>
      <c r="OSA37" s="85"/>
      <c r="OSB37" s="85"/>
      <c r="OSC37" s="85"/>
      <c r="OSD37" s="85"/>
      <c r="OSE37" s="85"/>
      <c r="OSF37" s="85"/>
      <c r="OSG37" s="85"/>
      <c r="OSH37" s="85"/>
      <c r="OSI37" s="85"/>
      <c r="OSJ37" s="85"/>
      <c r="OSK37" s="85"/>
      <c r="OSL37" s="85"/>
      <c r="OSM37" s="85"/>
      <c r="OSN37" s="85"/>
      <c r="OSO37" s="85"/>
      <c r="OSP37" s="85"/>
      <c r="OSQ37" s="85"/>
      <c r="OSR37" s="85"/>
      <c r="OSS37" s="85"/>
      <c r="OST37" s="85"/>
      <c r="OSU37" s="85"/>
      <c r="OSV37" s="85"/>
      <c r="OSW37" s="85"/>
      <c r="OSX37" s="85"/>
      <c r="OSY37" s="85"/>
      <c r="OSZ37" s="85"/>
      <c r="OTA37" s="85"/>
      <c r="OTB37" s="85"/>
      <c r="OTC37" s="85"/>
      <c r="OTD37" s="85"/>
      <c r="OTE37" s="85"/>
      <c r="OTF37" s="85"/>
      <c r="OTG37" s="85"/>
      <c r="OTH37" s="85"/>
      <c r="OTI37" s="85"/>
      <c r="OTJ37" s="85"/>
      <c r="OTK37" s="85"/>
      <c r="OTL37" s="85"/>
      <c r="OTM37" s="85"/>
      <c r="OTN37" s="85"/>
      <c r="OTO37" s="85"/>
      <c r="OTP37" s="85"/>
      <c r="OTQ37" s="85"/>
      <c r="OTR37" s="85"/>
      <c r="OTS37" s="85"/>
      <c r="OTT37" s="85"/>
      <c r="OTU37" s="85"/>
      <c r="OTV37" s="85"/>
      <c r="OTW37" s="85"/>
      <c r="OTX37" s="85"/>
      <c r="OTY37" s="85"/>
      <c r="OTZ37" s="85"/>
      <c r="OUA37" s="85"/>
      <c r="OUB37" s="85"/>
      <c r="OUC37" s="85"/>
      <c r="OUD37" s="85"/>
      <c r="OUE37" s="85"/>
      <c r="OUF37" s="85"/>
      <c r="OUG37" s="85"/>
      <c r="OUH37" s="85"/>
      <c r="OUI37" s="85"/>
      <c r="OUJ37" s="85"/>
      <c r="OUK37" s="85"/>
      <c r="OUL37" s="85"/>
      <c r="OUM37" s="85"/>
      <c r="OUN37" s="85"/>
      <c r="OUO37" s="85"/>
      <c r="OUP37" s="85"/>
      <c r="OUQ37" s="85"/>
      <c r="OUR37" s="85"/>
      <c r="OUS37" s="85"/>
      <c r="OUT37" s="85"/>
      <c r="OUU37" s="85"/>
      <c r="OUV37" s="85"/>
      <c r="OUW37" s="85"/>
      <c r="OUX37" s="85"/>
      <c r="OUY37" s="85"/>
      <c r="OUZ37" s="85"/>
      <c r="OVA37" s="85"/>
      <c r="OVB37" s="85"/>
      <c r="OVC37" s="85"/>
      <c r="OVD37" s="85"/>
      <c r="OVE37" s="85"/>
      <c r="OVF37" s="85"/>
      <c r="OVG37" s="85"/>
      <c r="OVH37" s="85"/>
      <c r="OVI37" s="85"/>
      <c r="OVJ37" s="85"/>
      <c r="OVK37" s="85"/>
      <c r="OVL37" s="85"/>
      <c r="OVM37" s="85"/>
      <c r="OVN37" s="85"/>
      <c r="OVO37" s="85"/>
      <c r="OVP37" s="85"/>
      <c r="OVQ37" s="85"/>
      <c r="OVR37" s="85"/>
      <c r="OVS37" s="85"/>
      <c r="OVT37" s="85"/>
      <c r="OVU37" s="85"/>
      <c r="OVV37" s="85"/>
      <c r="OVW37" s="85"/>
      <c r="OVX37" s="85"/>
      <c r="OVY37" s="85"/>
      <c r="OVZ37" s="85"/>
      <c r="OWA37" s="85"/>
      <c r="OWB37" s="85"/>
      <c r="OWC37" s="85"/>
      <c r="OWD37" s="85"/>
      <c r="OWE37" s="85"/>
      <c r="OWF37" s="85"/>
      <c r="OWG37" s="85"/>
      <c r="OWH37" s="85"/>
      <c r="OWI37" s="85"/>
      <c r="OWJ37" s="85"/>
      <c r="OWK37" s="85"/>
      <c r="OWL37" s="85"/>
      <c r="OWM37" s="85"/>
      <c r="OWN37" s="85"/>
      <c r="OWO37" s="85"/>
      <c r="OWP37" s="85"/>
      <c r="OWQ37" s="85"/>
      <c r="OWR37" s="85"/>
      <c r="OWS37" s="85"/>
      <c r="OWT37" s="85"/>
      <c r="OWU37" s="85"/>
      <c r="OWV37" s="85"/>
      <c r="OWW37" s="85"/>
      <c r="OWX37" s="85"/>
      <c r="OWY37" s="85"/>
      <c r="OWZ37" s="85"/>
      <c r="OXA37" s="85"/>
      <c r="OXB37" s="85"/>
      <c r="OXC37" s="85"/>
      <c r="OXD37" s="85"/>
      <c r="OXE37" s="85"/>
      <c r="OXF37" s="85"/>
      <c r="OXG37" s="85"/>
      <c r="OXH37" s="85"/>
      <c r="OXI37" s="85"/>
      <c r="OXJ37" s="85"/>
      <c r="OXK37" s="85"/>
      <c r="OXL37" s="85"/>
      <c r="OXM37" s="85"/>
      <c r="OXN37" s="85"/>
      <c r="OXO37" s="85"/>
      <c r="OXP37" s="85"/>
      <c r="OXQ37" s="85"/>
      <c r="OXR37" s="85"/>
      <c r="OXS37" s="85"/>
      <c r="OXT37" s="85"/>
      <c r="OXU37" s="85"/>
      <c r="OXV37" s="85"/>
      <c r="OXW37" s="85"/>
      <c r="OXX37" s="85"/>
      <c r="OXY37" s="85"/>
      <c r="OXZ37" s="85"/>
      <c r="OYA37" s="85"/>
      <c r="OYB37" s="85"/>
      <c r="OYC37" s="85"/>
      <c r="OYD37" s="85"/>
      <c r="OYE37" s="85"/>
      <c r="OYF37" s="85"/>
      <c r="OYG37" s="85"/>
      <c r="OYH37" s="85"/>
      <c r="OYI37" s="85"/>
      <c r="OYJ37" s="85"/>
      <c r="OYK37" s="85"/>
      <c r="OYL37" s="85"/>
      <c r="OYM37" s="85"/>
      <c r="OYN37" s="85"/>
      <c r="OYO37" s="85"/>
      <c r="OYP37" s="85"/>
      <c r="OYQ37" s="85"/>
      <c r="OYR37" s="85"/>
      <c r="OYS37" s="85"/>
      <c r="OYT37" s="85"/>
      <c r="OYU37" s="85"/>
      <c r="OYV37" s="85"/>
      <c r="OYW37" s="85"/>
      <c r="OYX37" s="85"/>
      <c r="OYY37" s="85"/>
      <c r="OYZ37" s="85"/>
      <c r="OZA37" s="85"/>
      <c r="OZB37" s="85"/>
      <c r="OZC37" s="85"/>
      <c r="OZD37" s="85"/>
      <c r="OZE37" s="85"/>
      <c r="OZF37" s="85"/>
      <c r="OZG37" s="85"/>
      <c r="OZH37" s="85"/>
      <c r="OZI37" s="85"/>
      <c r="OZJ37" s="85"/>
      <c r="OZK37" s="85"/>
      <c r="OZL37" s="85"/>
      <c r="OZM37" s="85"/>
      <c r="OZN37" s="85"/>
      <c r="OZO37" s="85"/>
      <c r="OZP37" s="85"/>
      <c r="OZQ37" s="85"/>
      <c r="OZR37" s="85"/>
      <c r="OZS37" s="85"/>
      <c r="OZT37" s="85"/>
      <c r="OZU37" s="85"/>
      <c r="OZV37" s="85"/>
      <c r="OZW37" s="85"/>
      <c r="OZX37" s="85"/>
      <c r="OZY37" s="85"/>
      <c r="OZZ37" s="85"/>
      <c r="PAA37" s="85"/>
      <c r="PAB37" s="85"/>
      <c r="PAC37" s="85"/>
      <c r="PAD37" s="85"/>
      <c r="PAE37" s="85"/>
      <c r="PAF37" s="85"/>
      <c r="PAG37" s="85"/>
      <c r="PAH37" s="85"/>
      <c r="PAI37" s="85"/>
      <c r="PAJ37" s="85"/>
      <c r="PAK37" s="85"/>
      <c r="PAL37" s="85"/>
      <c r="PAM37" s="85"/>
      <c r="PAN37" s="85"/>
      <c r="PAO37" s="85"/>
      <c r="PAP37" s="85"/>
      <c r="PAQ37" s="85"/>
      <c r="PAR37" s="85"/>
      <c r="PAS37" s="85"/>
      <c r="PAT37" s="85"/>
      <c r="PAU37" s="85"/>
      <c r="PAV37" s="85"/>
      <c r="PAW37" s="85"/>
      <c r="PAX37" s="85"/>
      <c r="PAY37" s="85"/>
      <c r="PAZ37" s="85"/>
      <c r="PBA37" s="85"/>
      <c r="PBB37" s="85"/>
      <c r="PBC37" s="85"/>
      <c r="PBD37" s="85"/>
      <c r="PBE37" s="85"/>
      <c r="PBF37" s="85"/>
      <c r="PBG37" s="85"/>
      <c r="PBH37" s="85"/>
      <c r="PBI37" s="85"/>
      <c r="PBJ37" s="85"/>
      <c r="PBK37" s="85"/>
      <c r="PBL37" s="85"/>
      <c r="PBM37" s="85"/>
      <c r="PBN37" s="85"/>
      <c r="PBO37" s="85"/>
      <c r="PBP37" s="85"/>
      <c r="PBQ37" s="85"/>
      <c r="PBR37" s="85"/>
      <c r="PBS37" s="85"/>
      <c r="PBT37" s="85"/>
      <c r="PBU37" s="85"/>
      <c r="PBV37" s="85"/>
      <c r="PBW37" s="85"/>
      <c r="PBX37" s="85"/>
      <c r="PBY37" s="85"/>
      <c r="PBZ37" s="85"/>
      <c r="PCA37" s="85"/>
      <c r="PCB37" s="85"/>
      <c r="PCC37" s="85"/>
      <c r="PCD37" s="85"/>
      <c r="PCE37" s="85"/>
      <c r="PCF37" s="85"/>
      <c r="PCG37" s="85"/>
      <c r="PCH37" s="85"/>
      <c r="PCI37" s="85"/>
      <c r="PCJ37" s="85"/>
      <c r="PCK37" s="85"/>
      <c r="PCL37" s="85"/>
      <c r="PCM37" s="85"/>
      <c r="PCN37" s="85"/>
      <c r="PCO37" s="85"/>
      <c r="PCP37" s="85"/>
      <c r="PCQ37" s="85"/>
      <c r="PCR37" s="85"/>
      <c r="PCS37" s="85"/>
      <c r="PCT37" s="85"/>
      <c r="PCU37" s="85"/>
      <c r="PCV37" s="85"/>
      <c r="PCW37" s="85"/>
      <c r="PCX37" s="85"/>
      <c r="PCY37" s="85"/>
      <c r="PCZ37" s="85"/>
      <c r="PDA37" s="85"/>
      <c r="PDB37" s="85"/>
      <c r="PDC37" s="85"/>
      <c r="PDD37" s="85"/>
      <c r="PDE37" s="85"/>
      <c r="PDF37" s="85"/>
      <c r="PDG37" s="85"/>
      <c r="PDH37" s="85"/>
      <c r="PDI37" s="85"/>
      <c r="PDJ37" s="85"/>
      <c r="PDK37" s="85"/>
      <c r="PDL37" s="85"/>
      <c r="PDM37" s="85"/>
      <c r="PDN37" s="85"/>
      <c r="PDO37" s="85"/>
      <c r="PDP37" s="85"/>
      <c r="PDQ37" s="85"/>
      <c r="PDR37" s="85"/>
      <c r="PDS37" s="85"/>
      <c r="PDT37" s="85"/>
      <c r="PDU37" s="85"/>
      <c r="PDV37" s="85"/>
      <c r="PDW37" s="85"/>
      <c r="PDX37" s="85"/>
      <c r="PDY37" s="85"/>
      <c r="PDZ37" s="85"/>
      <c r="PEA37" s="85"/>
      <c r="PEB37" s="85"/>
      <c r="PEC37" s="85"/>
      <c r="PED37" s="85"/>
      <c r="PEE37" s="85"/>
      <c r="PEF37" s="85"/>
      <c r="PEG37" s="85"/>
      <c r="PEH37" s="85"/>
      <c r="PEI37" s="85"/>
      <c r="PEJ37" s="85"/>
      <c r="PEK37" s="85"/>
      <c r="PEL37" s="85"/>
      <c r="PEM37" s="85"/>
      <c r="PEN37" s="85"/>
      <c r="PEO37" s="85"/>
      <c r="PEP37" s="85"/>
      <c r="PEQ37" s="85"/>
      <c r="PER37" s="85"/>
      <c r="PES37" s="85"/>
      <c r="PET37" s="85"/>
      <c r="PEU37" s="85"/>
      <c r="PEV37" s="85"/>
      <c r="PEW37" s="85"/>
      <c r="PEX37" s="85"/>
      <c r="PEY37" s="85"/>
      <c r="PEZ37" s="85"/>
      <c r="PFA37" s="85"/>
      <c r="PFB37" s="85"/>
      <c r="PFC37" s="85"/>
      <c r="PFD37" s="85"/>
      <c r="PFE37" s="85"/>
      <c r="PFF37" s="85"/>
      <c r="PFG37" s="85"/>
      <c r="PFH37" s="85"/>
      <c r="PFI37" s="85"/>
      <c r="PFJ37" s="85"/>
      <c r="PFK37" s="85"/>
      <c r="PFL37" s="85"/>
      <c r="PFM37" s="85"/>
      <c r="PFN37" s="85"/>
      <c r="PFO37" s="85"/>
      <c r="PFP37" s="85"/>
      <c r="PFQ37" s="85"/>
      <c r="PFR37" s="85"/>
      <c r="PFS37" s="85"/>
      <c r="PFT37" s="85"/>
      <c r="PFU37" s="85"/>
      <c r="PFV37" s="85"/>
      <c r="PFW37" s="85"/>
      <c r="PFX37" s="85"/>
      <c r="PFY37" s="85"/>
      <c r="PFZ37" s="85"/>
      <c r="PGA37" s="85"/>
      <c r="PGB37" s="85"/>
      <c r="PGC37" s="85"/>
      <c r="PGD37" s="85"/>
      <c r="PGE37" s="85"/>
      <c r="PGF37" s="85"/>
      <c r="PGG37" s="85"/>
      <c r="PGH37" s="85"/>
      <c r="PGI37" s="85"/>
      <c r="PGJ37" s="85"/>
      <c r="PGK37" s="85"/>
      <c r="PGL37" s="85"/>
      <c r="PGM37" s="85"/>
      <c r="PGN37" s="85"/>
      <c r="PGO37" s="85"/>
      <c r="PGP37" s="85"/>
      <c r="PGQ37" s="85"/>
      <c r="PGR37" s="85"/>
      <c r="PGS37" s="85"/>
      <c r="PGT37" s="85"/>
      <c r="PGU37" s="85"/>
      <c r="PGV37" s="85"/>
      <c r="PGW37" s="85"/>
      <c r="PGX37" s="85"/>
      <c r="PGY37" s="85"/>
      <c r="PGZ37" s="85"/>
      <c r="PHA37" s="85"/>
      <c r="PHB37" s="85"/>
      <c r="PHC37" s="85"/>
      <c r="PHD37" s="85"/>
      <c r="PHE37" s="85"/>
      <c r="PHF37" s="85"/>
      <c r="PHG37" s="85"/>
      <c r="PHH37" s="85"/>
      <c r="PHI37" s="85"/>
      <c r="PHJ37" s="85"/>
      <c r="PHK37" s="85"/>
      <c r="PHL37" s="85"/>
      <c r="PHM37" s="85"/>
      <c r="PHN37" s="85"/>
      <c r="PHO37" s="85"/>
      <c r="PHP37" s="85"/>
      <c r="PHQ37" s="85"/>
      <c r="PHR37" s="85"/>
      <c r="PHS37" s="85"/>
      <c r="PHT37" s="85"/>
      <c r="PHU37" s="85"/>
      <c r="PHV37" s="85"/>
      <c r="PHW37" s="85"/>
      <c r="PHX37" s="85"/>
      <c r="PHY37" s="85"/>
      <c r="PHZ37" s="85"/>
      <c r="PIA37" s="85"/>
      <c r="PIB37" s="85"/>
      <c r="PIC37" s="85"/>
      <c r="PID37" s="85"/>
      <c r="PIE37" s="85"/>
      <c r="PIF37" s="85"/>
      <c r="PIG37" s="85"/>
      <c r="PIH37" s="85"/>
      <c r="PII37" s="85"/>
      <c r="PIJ37" s="85"/>
      <c r="PIK37" s="85"/>
      <c r="PIL37" s="85"/>
      <c r="PIM37" s="85"/>
      <c r="PIN37" s="85"/>
      <c r="PIO37" s="85"/>
      <c r="PIP37" s="85"/>
      <c r="PIQ37" s="85"/>
      <c r="PIR37" s="85"/>
      <c r="PIS37" s="85"/>
      <c r="PIT37" s="85"/>
      <c r="PIU37" s="85"/>
      <c r="PIV37" s="85"/>
      <c r="PIW37" s="85"/>
      <c r="PIX37" s="85"/>
      <c r="PIY37" s="85"/>
      <c r="PIZ37" s="85"/>
      <c r="PJA37" s="85"/>
      <c r="PJB37" s="85"/>
      <c r="PJC37" s="85"/>
      <c r="PJD37" s="85"/>
      <c r="PJE37" s="85"/>
      <c r="PJF37" s="85"/>
      <c r="PJG37" s="85"/>
      <c r="PJH37" s="85"/>
      <c r="PJI37" s="85"/>
      <c r="PJJ37" s="85"/>
      <c r="PJK37" s="85"/>
      <c r="PJL37" s="85"/>
      <c r="PJM37" s="85"/>
      <c r="PJN37" s="85"/>
      <c r="PJO37" s="85"/>
      <c r="PJP37" s="85"/>
      <c r="PJQ37" s="85"/>
      <c r="PJR37" s="85"/>
      <c r="PJS37" s="85"/>
      <c r="PJT37" s="85"/>
      <c r="PJU37" s="85"/>
      <c r="PJV37" s="85"/>
      <c r="PJW37" s="85"/>
      <c r="PJX37" s="85"/>
      <c r="PJY37" s="85"/>
      <c r="PJZ37" s="85"/>
      <c r="PKA37" s="85"/>
      <c r="PKB37" s="85"/>
      <c r="PKC37" s="85"/>
      <c r="PKD37" s="85"/>
      <c r="PKE37" s="85"/>
      <c r="PKF37" s="85"/>
      <c r="PKG37" s="85"/>
      <c r="PKH37" s="85"/>
      <c r="PKI37" s="85"/>
      <c r="PKJ37" s="85"/>
      <c r="PKK37" s="85"/>
      <c r="PKL37" s="85"/>
      <c r="PKM37" s="85"/>
      <c r="PKN37" s="85"/>
      <c r="PKO37" s="85"/>
      <c r="PKP37" s="85"/>
      <c r="PKQ37" s="85"/>
      <c r="PKR37" s="85"/>
      <c r="PKS37" s="85"/>
      <c r="PKT37" s="85"/>
      <c r="PKU37" s="85"/>
      <c r="PKV37" s="85"/>
      <c r="PKW37" s="85"/>
      <c r="PKX37" s="85"/>
      <c r="PKY37" s="85"/>
      <c r="PKZ37" s="85"/>
      <c r="PLA37" s="85"/>
      <c r="PLB37" s="85"/>
      <c r="PLC37" s="85"/>
      <c r="PLD37" s="85"/>
      <c r="PLE37" s="85"/>
      <c r="PLF37" s="85"/>
      <c r="PLG37" s="85"/>
      <c r="PLH37" s="85"/>
      <c r="PLI37" s="85"/>
      <c r="PLJ37" s="85"/>
      <c r="PLK37" s="85"/>
      <c r="PLL37" s="85"/>
      <c r="PLM37" s="85"/>
      <c r="PLN37" s="85"/>
      <c r="PLO37" s="85"/>
      <c r="PLP37" s="85"/>
      <c r="PLQ37" s="85"/>
      <c r="PLR37" s="85"/>
      <c r="PLS37" s="85"/>
      <c r="PLT37" s="85"/>
      <c r="PLU37" s="85"/>
      <c r="PLV37" s="85"/>
      <c r="PLW37" s="85"/>
      <c r="PLX37" s="85"/>
      <c r="PLY37" s="85"/>
      <c r="PLZ37" s="85"/>
      <c r="PMA37" s="85"/>
      <c r="PMB37" s="85"/>
      <c r="PMC37" s="85"/>
      <c r="PMD37" s="85"/>
      <c r="PME37" s="85"/>
      <c r="PMF37" s="85"/>
      <c r="PMG37" s="85"/>
      <c r="PMH37" s="85"/>
      <c r="PMI37" s="85"/>
      <c r="PMJ37" s="85"/>
      <c r="PMK37" s="85"/>
      <c r="PML37" s="85"/>
      <c r="PMM37" s="85"/>
      <c r="PMN37" s="85"/>
      <c r="PMO37" s="85"/>
      <c r="PMP37" s="85"/>
      <c r="PMQ37" s="85"/>
      <c r="PMR37" s="85"/>
      <c r="PMS37" s="85"/>
      <c r="PMT37" s="85"/>
      <c r="PMU37" s="85"/>
      <c r="PMV37" s="85"/>
      <c r="PMW37" s="85"/>
      <c r="PMX37" s="85"/>
      <c r="PMY37" s="85"/>
      <c r="PMZ37" s="85"/>
      <c r="PNA37" s="85"/>
      <c r="PNB37" s="85"/>
      <c r="PNC37" s="85"/>
      <c r="PND37" s="85"/>
      <c r="PNE37" s="85"/>
      <c r="PNF37" s="85"/>
      <c r="PNG37" s="85"/>
      <c r="PNH37" s="85"/>
      <c r="PNI37" s="85"/>
      <c r="PNJ37" s="85"/>
      <c r="PNK37" s="85"/>
      <c r="PNL37" s="85"/>
      <c r="PNM37" s="85"/>
      <c r="PNN37" s="85"/>
      <c r="PNO37" s="85"/>
      <c r="PNP37" s="85"/>
      <c r="PNQ37" s="85"/>
      <c r="PNR37" s="85"/>
      <c r="PNS37" s="85"/>
      <c r="PNT37" s="85"/>
      <c r="PNU37" s="85"/>
      <c r="PNV37" s="85"/>
      <c r="PNW37" s="85"/>
      <c r="PNX37" s="85"/>
      <c r="PNY37" s="85"/>
      <c r="PNZ37" s="85"/>
      <c r="POA37" s="85"/>
      <c r="POB37" s="85"/>
      <c r="POC37" s="85"/>
      <c r="POD37" s="85"/>
      <c r="POE37" s="85"/>
      <c r="POF37" s="85"/>
      <c r="POG37" s="85"/>
      <c r="POH37" s="85"/>
      <c r="POI37" s="85"/>
      <c r="POJ37" s="85"/>
      <c r="POK37" s="85"/>
      <c r="POL37" s="85"/>
      <c r="POM37" s="85"/>
      <c r="PON37" s="85"/>
      <c r="POO37" s="85"/>
      <c r="POP37" s="85"/>
      <c r="POQ37" s="85"/>
      <c r="POR37" s="85"/>
      <c r="POS37" s="85"/>
      <c r="POT37" s="85"/>
      <c r="POU37" s="85"/>
      <c r="POV37" s="85"/>
      <c r="POW37" s="85"/>
      <c r="POX37" s="85"/>
      <c r="POY37" s="85"/>
      <c r="POZ37" s="85"/>
      <c r="PPA37" s="85"/>
      <c r="PPB37" s="85"/>
      <c r="PPC37" s="85"/>
      <c r="PPD37" s="85"/>
      <c r="PPE37" s="85"/>
      <c r="PPF37" s="85"/>
      <c r="PPG37" s="85"/>
      <c r="PPH37" s="85"/>
      <c r="PPI37" s="85"/>
      <c r="PPJ37" s="85"/>
      <c r="PPK37" s="85"/>
      <c r="PPL37" s="85"/>
      <c r="PPM37" s="85"/>
      <c r="PPN37" s="85"/>
      <c r="PPO37" s="85"/>
      <c r="PPP37" s="85"/>
      <c r="PPQ37" s="85"/>
      <c r="PPR37" s="85"/>
      <c r="PPS37" s="85"/>
      <c r="PPT37" s="85"/>
      <c r="PPU37" s="85"/>
      <c r="PPV37" s="85"/>
      <c r="PPW37" s="85"/>
      <c r="PPX37" s="85"/>
      <c r="PPY37" s="85"/>
      <c r="PPZ37" s="85"/>
      <c r="PQA37" s="85"/>
      <c r="PQB37" s="85"/>
      <c r="PQC37" s="85"/>
      <c r="PQD37" s="85"/>
      <c r="PQE37" s="85"/>
      <c r="PQF37" s="85"/>
      <c r="PQG37" s="85"/>
      <c r="PQH37" s="85"/>
      <c r="PQI37" s="85"/>
      <c r="PQJ37" s="85"/>
      <c r="PQK37" s="85"/>
      <c r="PQL37" s="85"/>
      <c r="PQM37" s="85"/>
      <c r="PQN37" s="85"/>
      <c r="PQO37" s="85"/>
      <c r="PQP37" s="85"/>
      <c r="PQQ37" s="85"/>
      <c r="PQR37" s="85"/>
      <c r="PQS37" s="85"/>
      <c r="PQT37" s="85"/>
      <c r="PQU37" s="85"/>
      <c r="PQV37" s="85"/>
      <c r="PQW37" s="85"/>
      <c r="PQX37" s="85"/>
      <c r="PQY37" s="85"/>
      <c r="PQZ37" s="85"/>
      <c r="PRA37" s="85"/>
      <c r="PRB37" s="85"/>
      <c r="PRC37" s="85"/>
      <c r="PRD37" s="85"/>
      <c r="PRE37" s="85"/>
      <c r="PRF37" s="85"/>
      <c r="PRG37" s="85"/>
      <c r="PRH37" s="85"/>
      <c r="PRI37" s="85"/>
      <c r="PRJ37" s="85"/>
      <c r="PRK37" s="85"/>
      <c r="PRL37" s="85"/>
      <c r="PRM37" s="85"/>
      <c r="PRN37" s="85"/>
      <c r="PRO37" s="85"/>
      <c r="PRP37" s="85"/>
      <c r="PRQ37" s="85"/>
      <c r="PRR37" s="85"/>
      <c r="PRS37" s="85"/>
      <c r="PRT37" s="85"/>
      <c r="PRU37" s="85"/>
      <c r="PRV37" s="85"/>
      <c r="PRW37" s="85"/>
      <c r="PRX37" s="85"/>
      <c r="PRY37" s="85"/>
      <c r="PRZ37" s="85"/>
      <c r="PSA37" s="85"/>
      <c r="PSB37" s="85"/>
      <c r="PSC37" s="85"/>
      <c r="PSD37" s="85"/>
      <c r="PSE37" s="85"/>
      <c r="PSF37" s="85"/>
      <c r="PSG37" s="85"/>
      <c r="PSH37" s="85"/>
      <c r="PSI37" s="85"/>
      <c r="PSJ37" s="85"/>
      <c r="PSK37" s="85"/>
      <c r="PSL37" s="85"/>
      <c r="PSM37" s="85"/>
      <c r="PSN37" s="85"/>
      <c r="PSO37" s="85"/>
      <c r="PSP37" s="85"/>
      <c r="PSQ37" s="85"/>
      <c r="PSR37" s="85"/>
      <c r="PSS37" s="85"/>
      <c r="PST37" s="85"/>
      <c r="PSU37" s="85"/>
      <c r="PSV37" s="85"/>
      <c r="PSW37" s="85"/>
      <c r="PSX37" s="85"/>
      <c r="PSY37" s="85"/>
      <c r="PSZ37" s="85"/>
      <c r="PTA37" s="85"/>
      <c r="PTB37" s="85"/>
      <c r="PTC37" s="85"/>
      <c r="PTD37" s="85"/>
      <c r="PTE37" s="85"/>
      <c r="PTF37" s="85"/>
      <c r="PTG37" s="85"/>
      <c r="PTH37" s="85"/>
      <c r="PTI37" s="85"/>
      <c r="PTJ37" s="85"/>
      <c r="PTK37" s="85"/>
      <c r="PTL37" s="85"/>
      <c r="PTM37" s="85"/>
      <c r="PTN37" s="85"/>
      <c r="PTO37" s="85"/>
      <c r="PTP37" s="85"/>
      <c r="PTQ37" s="85"/>
      <c r="PTR37" s="85"/>
      <c r="PTS37" s="85"/>
      <c r="PTT37" s="85"/>
      <c r="PTU37" s="85"/>
      <c r="PTV37" s="85"/>
      <c r="PTW37" s="85"/>
      <c r="PTX37" s="85"/>
      <c r="PTY37" s="85"/>
      <c r="PTZ37" s="85"/>
      <c r="PUA37" s="85"/>
      <c r="PUB37" s="85"/>
      <c r="PUC37" s="85"/>
      <c r="PUD37" s="85"/>
      <c r="PUE37" s="85"/>
      <c r="PUF37" s="85"/>
      <c r="PUG37" s="85"/>
      <c r="PUH37" s="85"/>
      <c r="PUI37" s="85"/>
      <c r="PUJ37" s="85"/>
      <c r="PUK37" s="85"/>
      <c r="PUL37" s="85"/>
      <c r="PUM37" s="85"/>
      <c r="PUN37" s="85"/>
      <c r="PUO37" s="85"/>
      <c r="PUP37" s="85"/>
      <c r="PUQ37" s="85"/>
      <c r="PUR37" s="85"/>
      <c r="PUS37" s="85"/>
      <c r="PUT37" s="85"/>
      <c r="PUU37" s="85"/>
      <c r="PUV37" s="85"/>
      <c r="PUW37" s="85"/>
      <c r="PUX37" s="85"/>
      <c r="PUY37" s="85"/>
      <c r="PUZ37" s="85"/>
      <c r="PVA37" s="85"/>
      <c r="PVB37" s="85"/>
      <c r="PVC37" s="85"/>
      <c r="PVD37" s="85"/>
      <c r="PVE37" s="85"/>
      <c r="PVF37" s="85"/>
      <c r="PVG37" s="85"/>
      <c r="PVH37" s="85"/>
      <c r="PVI37" s="85"/>
      <c r="PVJ37" s="85"/>
      <c r="PVK37" s="85"/>
      <c r="PVL37" s="85"/>
      <c r="PVM37" s="85"/>
      <c r="PVN37" s="85"/>
      <c r="PVO37" s="85"/>
      <c r="PVP37" s="85"/>
      <c r="PVQ37" s="85"/>
      <c r="PVR37" s="85"/>
      <c r="PVS37" s="85"/>
      <c r="PVT37" s="85"/>
      <c r="PVU37" s="85"/>
      <c r="PVV37" s="85"/>
      <c r="PVW37" s="85"/>
      <c r="PVX37" s="85"/>
      <c r="PVY37" s="85"/>
      <c r="PVZ37" s="85"/>
      <c r="PWA37" s="85"/>
      <c r="PWB37" s="85"/>
      <c r="PWC37" s="85"/>
      <c r="PWD37" s="85"/>
      <c r="PWE37" s="85"/>
      <c r="PWF37" s="85"/>
      <c r="PWG37" s="85"/>
      <c r="PWH37" s="85"/>
      <c r="PWI37" s="85"/>
      <c r="PWJ37" s="85"/>
      <c r="PWK37" s="85"/>
      <c r="PWL37" s="85"/>
      <c r="PWM37" s="85"/>
      <c r="PWN37" s="85"/>
      <c r="PWO37" s="85"/>
      <c r="PWP37" s="85"/>
      <c r="PWQ37" s="85"/>
      <c r="PWR37" s="85"/>
      <c r="PWS37" s="85"/>
      <c r="PWT37" s="85"/>
      <c r="PWU37" s="85"/>
      <c r="PWV37" s="85"/>
      <c r="PWW37" s="85"/>
      <c r="PWX37" s="85"/>
      <c r="PWY37" s="85"/>
      <c r="PWZ37" s="85"/>
      <c r="PXA37" s="85"/>
      <c r="PXB37" s="85"/>
      <c r="PXC37" s="85"/>
      <c r="PXD37" s="85"/>
      <c r="PXE37" s="85"/>
      <c r="PXF37" s="85"/>
      <c r="PXG37" s="85"/>
      <c r="PXH37" s="85"/>
      <c r="PXI37" s="85"/>
      <c r="PXJ37" s="85"/>
      <c r="PXK37" s="85"/>
      <c r="PXL37" s="85"/>
      <c r="PXM37" s="85"/>
      <c r="PXN37" s="85"/>
      <c r="PXO37" s="85"/>
      <c r="PXP37" s="85"/>
      <c r="PXQ37" s="85"/>
      <c r="PXR37" s="85"/>
      <c r="PXS37" s="85"/>
      <c r="PXT37" s="85"/>
      <c r="PXU37" s="85"/>
      <c r="PXV37" s="85"/>
      <c r="PXW37" s="85"/>
      <c r="PXX37" s="85"/>
      <c r="PXY37" s="85"/>
      <c r="PXZ37" s="85"/>
      <c r="PYA37" s="85"/>
      <c r="PYB37" s="85"/>
      <c r="PYC37" s="85"/>
      <c r="PYD37" s="85"/>
      <c r="PYE37" s="85"/>
      <c r="PYF37" s="85"/>
      <c r="PYG37" s="85"/>
      <c r="PYH37" s="85"/>
      <c r="PYI37" s="85"/>
      <c r="PYJ37" s="85"/>
      <c r="PYK37" s="85"/>
      <c r="PYL37" s="85"/>
      <c r="PYM37" s="85"/>
      <c r="PYN37" s="85"/>
      <c r="PYO37" s="85"/>
      <c r="PYP37" s="85"/>
      <c r="PYQ37" s="85"/>
      <c r="PYR37" s="85"/>
      <c r="PYS37" s="85"/>
      <c r="PYT37" s="85"/>
      <c r="PYU37" s="85"/>
      <c r="PYV37" s="85"/>
      <c r="PYW37" s="85"/>
      <c r="PYX37" s="85"/>
      <c r="PYY37" s="85"/>
      <c r="PYZ37" s="85"/>
      <c r="PZA37" s="85"/>
      <c r="PZB37" s="85"/>
      <c r="PZC37" s="85"/>
      <c r="PZD37" s="85"/>
      <c r="PZE37" s="85"/>
      <c r="PZF37" s="85"/>
      <c r="PZG37" s="85"/>
      <c r="PZH37" s="85"/>
      <c r="PZI37" s="85"/>
      <c r="PZJ37" s="85"/>
      <c r="PZK37" s="85"/>
      <c r="PZL37" s="85"/>
      <c r="PZM37" s="85"/>
      <c r="PZN37" s="85"/>
      <c r="PZO37" s="85"/>
      <c r="PZP37" s="85"/>
      <c r="PZQ37" s="85"/>
      <c r="PZR37" s="85"/>
      <c r="PZS37" s="85"/>
      <c r="PZT37" s="85"/>
      <c r="PZU37" s="85"/>
      <c r="PZV37" s="85"/>
      <c r="PZW37" s="85"/>
      <c r="PZX37" s="85"/>
      <c r="PZY37" s="85"/>
      <c r="PZZ37" s="85"/>
      <c r="QAA37" s="85"/>
      <c r="QAB37" s="85"/>
      <c r="QAC37" s="85"/>
      <c r="QAD37" s="85"/>
      <c r="QAE37" s="85"/>
      <c r="QAF37" s="85"/>
      <c r="QAG37" s="85"/>
      <c r="QAH37" s="85"/>
      <c r="QAI37" s="85"/>
      <c r="QAJ37" s="85"/>
      <c r="QAK37" s="85"/>
      <c r="QAL37" s="85"/>
      <c r="QAM37" s="85"/>
      <c r="QAN37" s="85"/>
      <c r="QAO37" s="85"/>
      <c r="QAP37" s="85"/>
      <c r="QAQ37" s="85"/>
      <c r="QAR37" s="85"/>
      <c r="QAS37" s="85"/>
      <c r="QAT37" s="85"/>
      <c r="QAU37" s="85"/>
      <c r="QAV37" s="85"/>
      <c r="QAW37" s="85"/>
      <c r="QAX37" s="85"/>
      <c r="QAY37" s="85"/>
      <c r="QAZ37" s="85"/>
      <c r="QBA37" s="85"/>
      <c r="QBB37" s="85"/>
      <c r="QBC37" s="85"/>
      <c r="QBD37" s="85"/>
      <c r="QBE37" s="85"/>
      <c r="QBF37" s="85"/>
      <c r="QBG37" s="85"/>
      <c r="QBH37" s="85"/>
      <c r="QBI37" s="85"/>
      <c r="QBJ37" s="85"/>
      <c r="QBK37" s="85"/>
      <c r="QBL37" s="85"/>
      <c r="QBM37" s="85"/>
      <c r="QBN37" s="85"/>
      <c r="QBO37" s="85"/>
      <c r="QBP37" s="85"/>
      <c r="QBQ37" s="85"/>
      <c r="QBR37" s="85"/>
      <c r="QBS37" s="85"/>
      <c r="QBT37" s="85"/>
      <c r="QBU37" s="85"/>
      <c r="QBV37" s="85"/>
      <c r="QBW37" s="85"/>
      <c r="QBX37" s="85"/>
      <c r="QBY37" s="85"/>
      <c r="QBZ37" s="85"/>
      <c r="QCA37" s="85"/>
      <c r="QCB37" s="85"/>
      <c r="QCC37" s="85"/>
      <c r="QCD37" s="85"/>
      <c r="QCE37" s="85"/>
      <c r="QCF37" s="85"/>
      <c r="QCG37" s="85"/>
      <c r="QCH37" s="85"/>
      <c r="QCI37" s="85"/>
      <c r="QCJ37" s="85"/>
      <c r="QCK37" s="85"/>
      <c r="QCL37" s="85"/>
      <c r="QCM37" s="85"/>
      <c r="QCN37" s="85"/>
      <c r="QCO37" s="85"/>
      <c r="QCP37" s="85"/>
      <c r="QCQ37" s="85"/>
      <c r="QCR37" s="85"/>
      <c r="QCS37" s="85"/>
      <c r="QCT37" s="85"/>
      <c r="QCU37" s="85"/>
      <c r="QCV37" s="85"/>
      <c r="QCW37" s="85"/>
      <c r="QCX37" s="85"/>
      <c r="QCY37" s="85"/>
      <c r="QCZ37" s="85"/>
      <c r="QDA37" s="85"/>
      <c r="QDB37" s="85"/>
      <c r="QDC37" s="85"/>
      <c r="QDD37" s="85"/>
      <c r="QDE37" s="85"/>
      <c r="QDF37" s="85"/>
      <c r="QDG37" s="85"/>
      <c r="QDH37" s="85"/>
      <c r="QDI37" s="85"/>
      <c r="QDJ37" s="85"/>
      <c r="QDK37" s="85"/>
      <c r="QDL37" s="85"/>
      <c r="QDM37" s="85"/>
      <c r="QDN37" s="85"/>
      <c r="QDO37" s="85"/>
      <c r="QDP37" s="85"/>
      <c r="QDQ37" s="85"/>
      <c r="QDR37" s="85"/>
      <c r="QDS37" s="85"/>
      <c r="QDT37" s="85"/>
      <c r="QDU37" s="85"/>
      <c r="QDV37" s="85"/>
      <c r="QDW37" s="85"/>
      <c r="QDX37" s="85"/>
      <c r="QDY37" s="85"/>
      <c r="QDZ37" s="85"/>
      <c r="QEA37" s="85"/>
      <c r="QEB37" s="85"/>
      <c r="QEC37" s="85"/>
      <c r="QED37" s="85"/>
      <c r="QEE37" s="85"/>
      <c r="QEF37" s="85"/>
      <c r="QEG37" s="85"/>
      <c r="QEH37" s="85"/>
      <c r="QEI37" s="85"/>
      <c r="QEJ37" s="85"/>
      <c r="QEK37" s="85"/>
      <c r="QEL37" s="85"/>
      <c r="QEM37" s="85"/>
      <c r="QEN37" s="85"/>
      <c r="QEO37" s="85"/>
      <c r="QEP37" s="85"/>
      <c r="QEQ37" s="85"/>
      <c r="QER37" s="85"/>
      <c r="QES37" s="85"/>
      <c r="QET37" s="85"/>
      <c r="QEU37" s="85"/>
      <c r="QEV37" s="85"/>
      <c r="QEW37" s="85"/>
      <c r="QEX37" s="85"/>
      <c r="QEY37" s="85"/>
      <c r="QEZ37" s="85"/>
      <c r="QFA37" s="85"/>
      <c r="QFB37" s="85"/>
      <c r="QFC37" s="85"/>
      <c r="QFD37" s="85"/>
      <c r="QFE37" s="85"/>
      <c r="QFF37" s="85"/>
      <c r="QFG37" s="85"/>
      <c r="QFH37" s="85"/>
      <c r="QFI37" s="85"/>
      <c r="QFJ37" s="85"/>
      <c r="QFK37" s="85"/>
      <c r="QFL37" s="85"/>
      <c r="QFM37" s="85"/>
      <c r="QFN37" s="85"/>
      <c r="QFO37" s="85"/>
      <c r="QFP37" s="85"/>
      <c r="QFQ37" s="85"/>
      <c r="QFR37" s="85"/>
      <c r="QFS37" s="85"/>
      <c r="QFT37" s="85"/>
      <c r="QFU37" s="85"/>
      <c r="QFV37" s="85"/>
      <c r="QFW37" s="85"/>
      <c r="QFX37" s="85"/>
      <c r="QFY37" s="85"/>
      <c r="QFZ37" s="85"/>
      <c r="QGA37" s="85"/>
      <c r="QGB37" s="85"/>
      <c r="QGC37" s="85"/>
      <c r="QGD37" s="85"/>
      <c r="QGE37" s="85"/>
      <c r="QGF37" s="85"/>
      <c r="QGG37" s="85"/>
      <c r="QGH37" s="85"/>
      <c r="QGI37" s="85"/>
      <c r="QGJ37" s="85"/>
      <c r="QGK37" s="85"/>
      <c r="QGL37" s="85"/>
      <c r="QGM37" s="85"/>
      <c r="QGN37" s="85"/>
      <c r="QGO37" s="85"/>
      <c r="QGP37" s="85"/>
      <c r="QGQ37" s="85"/>
      <c r="QGR37" s="85"/>
      <c r="QGS37" s="85"/>
      <c r="QGT37" s="85"/>
      <c r="QGU37" s="85"/>
      <c r="QGV37" s="85"/>
      <c r="QGW37" s="85"/>
      <c r="QGX37" s="85"/>
      <c r="QGY37" s="85"/>
      <c r="QGZ37" s="85"/>
      <c r="QHA37" s="85"/>
      <c r="QHB37" s="85"/>
      <c r="QHC37" s="85"/>
      <c r="QHD37" s="85"/>
      <c r="QHE37" s="85"/>
      <c r="QHF37" s="85"/>
      <c r="QHG37" s="85"/>
      <c r="QHH37" s="85"/>
      <c r="QHI37" s="85"/>
      <c r="QHJ37" s="85"/>
      <c r="QHK37" s="85"/>
      <c r="QHL37" s="85"/>
      <c r="QHM37" s="85"/>
      <c r="QHN37" s="85"/>
      <c r="QHO37" s="85"/>
      <c r="QHP37" s="85"/>
      <c r="QHQ37" s="85"/>
      <c r="QHR37" s="85"/>
      <c r="QHS37" s="85"/>
      <c r="QHT37" s="85"/>
      <c r="QHU37" s="85"/>
      <c r="QHV37" s="85"/>
      <c r="QHW37" s="85"/>
      <c r="QHX37" s="85"/>
      <c r="QHY37" s="85"/>
      <c r="QHZ37" s="85"/>
      <c r="QIA37" s="85"/>
      <c r="QIB37" s="85"/>
      <c r="QIC37" s="85"/>
      <c r="QID37" s="85"/>
      <c r="QIE37" s="85"/>
      <c r="QIF37" s="85"/>
      <c r="QIG37" s="85"/>
      <c r="QIH37" s="85"/>
      <c r="QII37" s="85"/>
      <c r="QIJ37" s="85"/>
      <c r="QIK37" s="85"/>
      <c r="QIL37" s="85"/>
      <c r="QIM37" s="85"/>
      <c r="QIN37" s="85"/>
      <c r="QIO37" s="85"/>
      <c r="QIP37" s="85"/>
      <c r="QIQ37" s="85"/>
      <c r="QIR37" s="85"/>
      <c r="QIS37" s="85"/>
      <c r="QIT37" s="85"/>
      <c r="QIU37" s="85"/>
      <c r="QIV37" s="85"/>
      <c r="QIW37" s="85"/>
      <c r="QIX37" s="85"/>
      <c r="QIY37" s="85"/>
      <c r="QIZ37" s="85"/>
      <c r="QJA37" s="85"/>
      <c r="QJB37" s="85"/>
      <c r="QJC37" s="85"/>
      <c r="QJD37" s="85"/>
      <c r="QJE37" s="85"/>
      <c r="QJF37" s="85"/>
      <c r="QJG37" s="85"/>
      <c r="QJH37" s="85"/>
      <c r="QJI37" s="85"/>
      <c r="QJJ37" s="85"/>
      <c r="QJK37" s="85"/>
      <c r="QJL37" s="85"/>
      <c r="QJM37" s="85"/>
      <c r="QJN37" s="85"/>
      <c r="QJO37" s="85"/>
      <c r="QJP37" s="85"/>
      <c r="QJQ37" s="85"/>
      <c r="QJR37" s="85"/>
      <c r="QJS37" s="85"/>
      <c r="QJT37" s="85"/>
      <c r="QJU37" s="85"/>
      <c r="QJV37" s="85"/>
      <c r="QJW37" s="85"/>
      <c r="QJX37" s="85"/>
      <c r="QJY37" s="85"/>
      <c r="QJZ37" s="85"/>
      <c r="QKA37" s="85"/>
      <c r="QKB37" s="85"/>
      <c r="QKC37" s="85"/>
      <c r="QKD37" s="85"/>
      <c r="QKE37" s="85"/>
      <c r="QKF37" s="85"/>
      <c r="QKG37" s="85"/>
      <c r="QKH37" s="85"/>
      <c r="QKI37" s="85"/>
      <c r="QKJ37" s="85"/>
      <c r="QKK37" s="85"/>
      <c r="QKL37" s="85"/>
      <c r="QKM37" s="85"/>
      <c r="QKN37" s="85"/>
      <c r="QKO37" s="85"/>
      <c r="QKP37" s="85"/>
      <c r="QKQ37" s="85"/>
      <c r="QKR37" s="85"/>
      <c r="QKS37" s="85"/>
      <c r="QKT37" s="85"/>
      <c r="QKU37" s="85"/>
      <c r="QKV37" s="85"/>
      <c r="QKW37" s="85"/>
      <c r="QKX37" s="85"/>
      <c r="QKY37" s="85"/>
      <c r="QKZ37" s="85"/>
      <c r="QLA37" s="85"/>
      <c r="QLB37" s="85"/>
      <c r="QLC37" s="85"/>
      <c r="QLD37" s="85"/>
      <c r="QLE37" s="85"/>
      <c r="QLF37" s="85"/>
      <c r="QLG37" s="85"/>
      <c r="QLH37" s="85"/>
      <c r="QLI37" s="85"/>
      <c r="QLJ37" s="85"/>
      <c r="QLK37" s="85"/>
      <c r="QLL37" s="85"/>
      <c r="QLM37" s="85"/>
      <c r="QLN37" s="85"/>
      <c r="QLO37" s="85"/>
      <c r="QLP37" s="85"/>
      <c r="QLQ37" s="85"/>
      <c r="QLR37" s="85"/>
      <c r="QLS37" s="85"/>
      <c r="QLT37" s="85"/>
      <c r="QLU37" s="85"/>
      <c r="QLV37" s="85"/>
      <c r="QLW37" s="85"/>
      <c r="QLX37" s="85"/>
      <c r="QLY37" s="85"/>
      <c r="QLZ37" s="85"/>
      <c r="QMA37" s="85"/>
      <c r="QMB37" s="85"/>
      <c r="QMC37" s="85"/>
      <c r="QMD37" s="85"/>
      <c r="QME37" s="85"/>
      <c r="QMF37" s="85"/>
      <c r="QMG37" s="85"/>
      <c r="QMH37" s="85"/>
      <c r="QMI37" s="85"/>
      <c r="QMJ37" s="85"/>
      <c r="QMK37" s="85"/>
      <c r="QML37" s="85"/>
      <c r="QMM37" s="85"/>
      <c r="QMN37" s="85"/>
      <c r="QMO37" s="85"/>
      <c r="QMP37" s="85"/>
      <c r="QMQ37" s="85"/>
      <c r="QMR37" s="85"/>
      <c r="QMS37" s="85"/>
      <c r="QMT37" s="85"/>
      <c r="QMU37" s="85"/>
      <c r="QMV37" s="85"/>
      <c r="QMW37" s="85"/>
      <c r="QMX37" s="85"/>
      <c r="QMY37" s="85"/>
      <c r="QMZ37" s="85"/>
      <c r="QNA37" s="85"/>
      <c r="QNB37" s="85"/>
      <c r="QNC37" s="85"/>
      <c r="QND37" s="85"/>
      <c r="QNE37" s="85"/>
      <c r="QNF37" s="85"/>
      <c r="QNG37" s="85"/>
      <c r="QNH37" s="85"/>
      <c r="QNI37" s="85"/>
      <c r="QNJ37" s="85"/>
      <c r="QNK37" s="85"/>
      <c r="QNL37" s="85"/>
      <c r="QNM37" s="85"/>
      <c r="QNN37" s="85"/>
      <c r="QNO37" s="85"/>
      <c r="QNP37" s="85"/>
      <c r="QNQ37" s="85"/>
      <c r="QNR37" s="85"/>
      <c r="QNS37" s="85"/>
      <c r="QNT37" s="85"/>
      <c r="QNU37" s="85"/>
      <c r="QNV37" s="85"/>
      <c r="QNW37" s="85"/>
      <c r="QNX37" s="85"/>
      <c r="QNY37" s="85"/>
      <c r="QNZ37" s="85"/>
      <c r="QOA37" s="85"/>
      <c r="QOB37" s="85"/>
      <c r="QOC37" s="85"/>
      <c r="QOD37" s="85"/>
      <c r="QOE37" s="85"/>
      <c r="QOF37" s="85"/>
      <c r="QOG37" s="85"/>
      <c r="QOH37" s="85"/>
      <c r="QOI37" s="85"/>
      <c r="QOJ37" s="85"/>
      <c r="QOK37" s="85"/>
      <c r="QOL37" s="85"/>
      <c r="QOM37" s="85"/>
      <c r="QON37" s="85"/>
      <c r="QOO37" s="85"/>
      <c r="QOP37" s="85"/>
      <c r="QOQ37" s="85"/>
      <c r="QOR37" s="85"/>
      <c r="QOS37" s="85"/>
      <c r="QOT37" s="85"/>
      <c r="QOU37" s="85"/>
      <c r="QOV37" s="85"/>
      <c r="QOW37" s="85"/>
      <c r="QOX37" s="85"/>
      <c r="QOY37" s="85"/>
      <c r="QOZ37" s="85"/>
      <c r="QPA37" s="85"/>
      <c r="QPB37" s="85"/>
      <c r="QPC37" s="85"/>
      <c r="QPD37" s="85"/>
      <c r="QPE37" s="85"/>
      <c r="QPF37" s="85"/>
      <c r="QPG37" s="85"/>
      <c r="QPH37" s="85"/>
      <c r="QPI37" s="85"/>
      <c r="QPJ37" s="85"/>
      <c r="QPK37" s="85"/>
      <c r="QPL37" s="85"/>
      <c r="QPM37" s="85"/>
      <c r="QPN37" s="85"/>
      <c r="QPO37" s="85"/>
      <c r="QPP37" s="85"/>
      <c r="QPQ37" s="85"/>
      <c r="QPR37" s="85"/>
      <c r="QPS37" s="85"/>
      <c r="QPT37" s="85"/>
      <c r="QPU37" s="85"/>
      <c r="QPV37" s="85"/>
      <c r="QPW37" s="85"/>
      <c r="QPX37" s="85"/>
      <c r="QPY37" s="85"/>
      <c r="QPZ37" s="85"/>
      <c r="QQA37" s="85"/>
      <c r="QQB37" s="85"/>
      <c r="QQC37" s="85"/>
      <c r="QQD37" s="85"/>
      <c r="QQE37" s="85"/>
      <c r="QQF37" s="85"/>
      <c r="QQG37" s="85"/>
      <c r="QQH37" s="85"/>
      <c r="QQI37" s="85"/>
      <c r="QQJ37" s="85"/>
      <c r="QQK37" s="85"/>
      <c r="QQL37" s="85"/>
      <c r="QQM37" s="85"/>
      <c r="QQN37" s="85"/>
      <c r="QQO37" s="85"/>
      <c r="QQP37" s="85"/>
      <c r="QQQ37" s="85"/>
      <c r="QQR37" s="85"/>
      <c r="QQS37" s="85"/>
      <c r="QQT37" s="85"/>
      <c r="QQU37" s="85"/>
      <c r="QQV37" s="85"/>
      <c r="QQW37" s="85"/>
      <c r="QQX37" s="85"/>
      <c r="QQY37" s="85"/>
      <c r="QQZ37" s="85"/>
      <c r="QRA37" s="85"/>
      <c r="QRB37" s="85"/>
      <c r="QRC37" s="85"/>
      <c r="QRD37" s="85"/>
      <c r="QRE37" s="85"/>
      <c r="QRF37" s="85"/>
      <c r="QRG37" s="85"/>
      <c r="QRH37" s="85"/>
      <c r="QRI37" s="85"/>
      <c r="QRJ37" s="85"/>
      <c r="QRK37" s="85"/>
      <c r="QRL37" s="85"/>
      <c r="QRM37" s="85"/>
      <c r="QRN37" s="85"/>
      <c r="QRO37" s="85"/>
      <c r="QRP37" s="85"/>
      <c r="QRQ37" s="85"/>
      <c r="QRR37" s="85"/>
      <c r="QRS37" s="85"/>
      <c r="QRT37" s="85"/>
      <c r="QRU37" s="85"/>
      <c r="QRV37" s="85"/>
      <c r="QRW37" s="85"/>
      <c r="QRX37" s="85"/>
      <c r="QRY37" s="85"/>
      <c r="QRZ37" s="85"/>
      <c r="QSA37" s="85"/>
      <c r="QSB37" s="85"/>
      <c r="QSC37" s="85"/>
      <c r="QSD37" s="85"/>
      <c r="QSE37" s="85"/>
      <c r="QSF37" s="85"/>
      <c r="QSG37" s="85"/>
      <c r="QSH37" s="85"/>
      <c r="QSI37" s="85"/>
      <c r="QSJ37" s="85"/>
      <c r="QSK37" s="85"/>
      <c r="QSL37" s="85"/>
      <c r="QSM37" s="85"/>
      <c r="QSN37" s="85"/>
      <c r="QSO37" s="85"/>
      <c r="QSP37" s="85"/>
      <c r="QSQ37" s="85"/>
      <c r="QSR37" s="85"/>
      <c r="QSS37" s="85"/>
      <c r="QST37" s="85"/>
      <c r="QSU37" s="85"/>
      <c r="QSV37" s="85"/>
      <c r="QSW37" s="85"/>
      <c r="QSX37" s="85"/>
      <c r="QSY37" s="85"/>
      <c r="QSZ37" s="85"/>
      <c r="QTA37" s="85"/>
      <c r="QTB37" s="85"/>
      <c r="QTC37" s="85"/>
      <c r="QTD37" s="85"/>
      <c r="QTE37" s="85"/>
      <c r="QTF37" s="85"/>
      <c r="QTG37" s="85"/>
      <c r="QTH37" s="85"/>
      <c r="QTI37" s="85"/>
      <c r="QTJ37" s="85"/>
      <c r="QTK37" s="85"/>
      <c r="QTL37" s="85"/>
      <c r="QTM37" s="85"/>
      <c r="QTN37" s="85"/>
      <c r="QTO37" s="85"/>
      <c r="QTP37" s="85"/>
      <c r="QTQ37" s="85"/>
      <c r="QTR37" s="85"/>
      <c r="QTS37" s="85"/>
      <c r="QTT37" s="85"/>
      <c r="QTU37" s="85"/>
      <c r="QTV37" s="85"/>
      <c r="QTW37" s="85"/>
      <c r="QTX37" s="85"/>
      <c r="QTY37" s="85"/>
      <c r="QTZ37" s="85"/>
      <c r="QUA37" s="85"/>
      <c r="QUB37" s="85"/>
      <c r="QUC37" s="85"/>
      <c r="QUD37" s="85"/>
      <c r="QUE37" s="85"/>
      <c r="QUF37" s="85"/>
      <c r="QUG37" s="85"/>
      <c r="QUH37" s="85"/>
      <c r="QUI37" s="85"/>
      <c r="QUJ37" s="85"/>
      <c r="QUK37" s="85"/>
      <c r="QUL37" s="85"/>
      <c r="QUM37" s="85"/>
      <c r="QUN37" s="85"/>
      <c r="QUO37" s="85"/>
      <c r="QUP37" s="85"/>
      <c r="QUQ37" s="85"/>
      <c r="QUR37" s="85"/>
      <c r="QUS37" s="85"/>
      <c r="QUT37" s="85"/>
      <c r="QUU37" s="85"/>
      <c r="QUV37" s="85"/>
      <c r="QUW37" s="85"/>
      <c r="QUX37" s="85"/>
      <c r="QUY37" s="85"/>
      <c r="QUZ37" s="85"/>
      <c r="QVA37" s="85"/>
      <c r="QVB37" s="85"/>
      <c r="QVC37" s="85"/>
      <c r="QVD37" s="85"/>
      <c r="QVE37" s="85"/>
      <c r="QVF37" s="85"/>
      <c r="QVG37" s="85"/>
      <c r="QVH37" s="85"/>
      <c r="QVI37" s="85"/>
      <c r="QVJ37" s="85"/>
      <c r="QVK37" s="85"/>
      <c r="QVL37" s="85"/>
      <c r="QVM37" s="85"/>
      <c r="QVN37" s="85"/>
      <c r="QVO37" s="85"/>
      <c r="QVP37" s="85"/>
      <c r="QVQ37" s="85"/>
      <c r="QVR37" s="85"/>
      <c r="QVS37" s="85"/>
      <c r="QVT37" s="85"/>
      <c r="QVU37" s="85"/>
      <c r="QVV37" s="85"/>
      <c r="QVW37" s="85"/>
      <c r="QVX37" s="85"/>
      <c r="QVY37" s="85"/>
      <c r="QVZ37" s="85"/>
      <c r="QWA37" s="85"/>
      <c r="QWB37" s="85"/>
      <c r="QWC37" s="85"/>
      <c r="QWD37" s="85"/>
      <c r="QWE37" s="85"/>
      <c r="QWF37" s="85"/>
      <c r="QWG37" s="85"/>
      <c r="QWH37" s="85"/>
      <c r="QWI37" s="85"/>
      <c r="QWJ37" s="85"/>
      <c r="QWK37" s="85"/>
      <c r="QWL37" s="85"/>
      <c r="QWM37" s="85"/>
      <c r="QWN37" s="85"/>
      <c r="QWO37" s="85"/>
      <c r="QWP37" s="85"/>
      <c r="QWQ37" s="85"/>
      <c r="QWR37" s="85"/>
      <c r="QWS37" s="85"/>
      <c r="QWT37" s="85"/>
      <c r="QWU37" s="85"/>
      <c r="QWV37" s="85"/>
      <c r="QWW37" s="85"/>
      <c r="QWX37" s="85"/>
      <c r="QWY37" s="85"/>
      <c r="QWZ37" s="85"/>
      <c r="QXA37" s="85"/>
      <c r="QXB37" s="85"/>
      <c r="QXC37" s="85"/>
      <c r="QXD37" s="85"/>
      <c r="QXE37" s="85"/>
      <c r="QXF37" s="85"/>
      <c r="QXG37" s="85"/>
      <c r="QXH37" s="85"/>
      <c r="QXI37" s="85"/>
      <c r="QXJ37" s="85"/>
      <c r="QXK37" s="85"/>
      <c r="QXL37" s="85"/>
      <c r="QXM37" s="85"/>
      <c r="QXN37" s="85"/>
      <c r="QXO37" s="85"/>
      <c r="QXP37" s="85"/>
      <c r="QXQ37" s="85"/>
      <c r="QXR37" s="85"/>
      <c r="QXS37" s="85"/>
      <c r="QXT37" s="85"/>
      <c r="QXU37" s="85"/>
      <c r="QXV37" s="85"/>
      <c r="QXW37" s="85"/>
      <c r="QXX37" s="85"/>
      <c r="QXY37" s="85"/>
      <c r="QXZ37" s="85"/>
      <c r="QYA37" s="85"/>
      <c r="QYB37" s="85"/>
      <c r="QYC37" s="85"/>
      <c r="QYD37" s="85"/>
      <c r="QYE37" s="85"/>
      <c r="QYF37" s="85"/>
      <c r="QYG37" s="85"/>
      <c r="QYH37" s="85"/>
      <c r="QYI37" s="85"/>
      <c r="QYJ37" s="85"/>
      <c r="QYK37" s="85"/>
      <c r="QYL37" s="85"/>
      <c r="QYM37" s="85"/>
      <c r="QYN37" s="85"/>
      <c r="QYO37" s="85"/>
      <c r="QYP37" s="85"/>
      <c r="QYQ37" s="85"/>
      <c r="QYR37" s="85"/>
      <c r="QYS37" s="85"/>
      <c r="QYT37" s="85"/>
      <c r="QYU37" s="85"/>
      <c r="QYV37" s="85"/>
      <c r="QYW37" s="85"/>
      <c r="QYX37" s="85"/>
      <c r="QYY37" s="85"/>
      <c r="QYZ37" s="85"/>
      <c r="QZA37" s="85"/>
      <c r="QZB37" s="85"/>
      <c r="QZC37" s="85"/>
      <c r="QZD37" s="85"/>
      <c r="QZE37" s="85"/>
      <c r="QZF37" s="85"/>
      <c r="QZG37" s="85"/>
      <c r="QZH37" s="85"/>
      <c r="QZI37" s="85"/>
      <c r="QZJ37" s="85"/>
      <c r="QZK37" s="85"/>
      <c r="QZL37" s="85"/>
      <c r="QZM37" s="85"/>
      <c r="QZN37" s="85"/>
      <c r="QZO37" s="85"/>
      <c r="QZP37" s="85"/>
      <c r="QZQ37" s="85"/>
      <c r="QZR37" s="85"/>
      <c r="QZS37" s="85"/>
      <c r="QZT37" s="85"/>
      <c r="QZU37" s="85"/>
      <c r="QZV37" s="85"/>
      <c r="QZW37" s="85"/>
      <c r="QZX37" s="85"/>
      <c r="QZY37" s="85"/>
      <c r="QZZ37" s="85"/>
      <c r="RAA37" s="85"/>
      <c r="RAB37" s="85"/>
      <c r="RAC37" s="85"/>
      <c r="RAD37" s="85"/>
      <c r="RAE37" s="85"/>
      <c r="RAF37" s="85"/>
      <c r="RAG37" s="85"/>
      <c r="RAH37" s="85"/>
      <c r="RAI37" s="85"/>
      <c r="RAJ37" s="85"/>
      <c r="RAK37" s="85"/>
      <c r="RAL37" s="85"/>
      <c r="RAM37" s="85"/>
      <c r="RAN37" s="85"/>
      <c r="RAO37" s="85"/>
      <c r="RAP37" s="85"/>
      <c r="RAQ37" s="85"/>
      <c r="RAR37" s="85"/>
      <c r="RAS37" s="85"/>
      <c r="RAT37" s="85"/>
      <c r="RAU37" s="85"/>
      <c r="RAV37" s="85"/>
      <c r="RAW37" s="85"/>
      <c r="RAX37" s="85"/>
      <c r="RAY37" s="85"/>
      <c r="RAZ37" s="85"/>
      <c r="RBA37" s="85"/>
      <c r="RBB37" s="85"/>
      <c r="RBC37" s="85"/>
      <c r="RBD37" s="85"/>
      <c r="RBE37" s="85"/>
      <c r="RBF37" s="85"/>
      <c r="RBG37" s="85"/>
      <c r="RBH37" s="85"/>
      <c r="RBI37" s="85"/>
      <c r="RBJ37" s="85"/>
      <c r="RBK37" s="85"/>
      <c r="RBL37" s="85"/>
      <c r="RBM37" s="85"/>
      <c r="RBN37" s="85"/>
      <c r="RBO37" s="85"/>
      <c r="RBP37" s="85"/>
      <c r="RBQ37" s="85"/>
      <c r="RBR37" s="85"/>
      <c r="RBS37" s="85"/>
      <c r="RBT37" s="85"/>
      <c r="RBU37" s="85"/>
      <c r="RBV37" s="85"/>
      <c r="RBW37" s="85"/>
      <c r="RBX37" s="85"/>
      <c r="RBY37" s="85"/>
      <c r="RBZ37" s="85"/>
      <c r="RCA37" s="85"/>
      <c r="RCB37" s="85"/>
      <c r="RCC37" s="85"/>
      <c r="RCD37" s="85"/>
      <c r="RCE37" s="85"/>
      <c r="RCF37" s="85"/>
      <c r="RCG37" s="85"/>
      <c r="RCH37" s="85"/>
      <c r="RCI37" s="85"/>
      <c r="RCJ37" s="85"/>
      <c r="RCK37" s="85"/>
      <c r="RCL37" s="85"/>
      <c r="RCM37" s="85"/>
      <c r="RCN37" s="85"/>
      <c r="RCO37" s="85"/>
      <c r="RCP37" s="85"/>
      <c r="RCQ37" s="85"/>
      <c r="RCR37" s="85"/>
      <c r="RCS37" s="85"/>
      <c r="RCT37" s="85"/>
      <c r="RCU37" s="85"/>
      <c r="RCV37" s="85"/>
      <c r="RCW37" s="85"/>
      <c r="RCX37" s="85"/>
      <c r="RCY37" s="85"/>
      <c r="RCZ37" s="85"/>
      <c r="RDA37" s="85"/>
      <c r="RDB37" s="85"/>
      <c r="RDC37" s="85"/>
      <c r="RDD37" s="85"/>
      <c r="RDE37" s="85"/>
      <c r="RDF37" s="85"/>
      <c r="RDG37" s="85"/>
      <c r="RDH37" s="85"/>
      <c r="RDI37" s="85"/>
      <c r="RDJ37" s="85"/>
      <c r="RDK37" s="85"/>
      <c r="RDL37" s="85"/>
      <c r="RDM37" s="85"/>
      <c r="RDN37" s="85"/>
      <c r="RDO37" s="85"/>
      <c r="RDP37" s="85"/>
      <c r="RDQ37" s="85"/>
      <c r="RDR37" s="85"/>
      <c r="RDS37" s="85"/>
      <c r="RDT37" s="85"/>
      <c r="RDU37" s="85"/>
      <c r="RDV37" s="85"/>
      <c r="RDW37" s="85"/>
      <c r="RDX37" s="85"/>
      <c r="RDY37" s="85"/>
      <c r="RDZ37" s="85"/>
      <c r="REA37" s="85"/>
      <c r="REB37" s="85"/>
      <c r="REC37" s="85"/>
      <c r="RED37" s="85"/>
      <c r="REE37" s="85"/>
      <c r="REF37" s="85"/>
      <c r="REG37" s="85"/>
      <c r="REH37" s="85"/>
      <c r="REI37" s="85"/>
      <c r="REJ37" s="85"/>
      <c r="REK37" s="85"/>
      <c r="REL37" s="85"/>
      <c r="REM37" s="85"/>
      <c r="REN37" s="85"/>
      <c r="REO37" s="85"/>
      <c r="REP37" s="85"/>
      <c r="REQ37" s="85"/>
      <c r="RER37" s="85"/>
      <c r="RES37" s="85"/>
      <c r="RET37" s="85"/>
      <c r="REU37" s="85"/>
      <c r="REV37" s="85"/>
      <c r="REW37" s="85"/>
      <c r="REX37" s="85"/>
      <c r="REY37" s="85"/>
      <c r="REZ37" s="85"/>
      <c r="RFA37" s="85"/>
      <c r="RFB37" s="85"/>
      <c r="RFC37" s="85"/>
      <c r="RFD37" s="85"/>
      <c r="RFE37" s="85"/>
      <c r="RFF37" s="85"/>
      <c r="RFG37" s="85"/>
      <c r="RFH37" s="85"/>
      <c r="RFI37" s="85"/>
      <c r="RFJ37" s="85"/>
      <c r="RFK37" s="85"/>
      <c r="RFL37" s="85"/>
      <c r="RFM37" s="85"/>
      <c r="RFN37" s="85"/>
      <c r="RFO37" s="85"/>
      <c r="RFP37" s="85"/>
      <c r="RFQ37" s="85"/>
      <c r="RFR37" s="85"/>
      <c r="RFS37" s="85"/>
      <c r="RFT37" s="85"/>
      <c r="RFU37" s="85"/>
      <c r="RFV37" s="85"/>
      <c r="RFW37" s="85"/>
      <c r="RFX37" s="85"/>
      <c r="RFY37" s="85"/>
      <c r="RFZ37" s="85"/>
      <c r="RGA37" s="85"/>
      <c r="RGB37" s="85"/>
      <c r="RGC37" s="85"/>
      <c r="RGD37" s="85"/>
      <c r="RGE37" s="85"/>
      <c r="RGF37" s="85"/>
      <c r="RGG37" s="85"/>
      <c r="RGH37" s="85"/>
      <c r="RGI37" s="85"/>
      <c r="RGJ37" s="85"/>
      <c r="RGK37" s="85"/>
      <c r="RGL37" s="85"/>
      <c r="RGM37" s="85"/>
      <c r="RGN37" s="85"/>
      <c r="RGO37" s="85"/>
      <c r="RGP37" s="85"/>
      <c r="RGQ37" s="85"/>
      <c r="RGR37" s="85"/>
      <c r="RGS37" s="85"/>
      <c r="RGT37" s="85"/>
      <c r="RGU37" s="85"/>
      <c r="RGV37" s="85"/>
      <c r="RGW37" s="85"/>
      <c r="RGX37" s="85"/>
      <c r="RGY37" s="85"/>
      <c r="RGZ37" s="85"/>
      <c r="RHA37" s="85"/>
      <c r="RHB37" s="85"/>
      <c r="RHC37" s="85"/>
      <c r="RHD37" s="85"/>
      <c r="RHE37" s="85"/>
      <c r="RHF37" s="85"/>
      <c r="RHG37" s="85"/>
      <c r="RHH37" s="85"/>
      <c r="RHI37" s="85"/>
      <c r="RHJ37" s="85"/>
      <c r="RHK37" s="85"/>
      <c r="RHL37" s="85"/>
      <c r="RHM37" s="85"/>
      <c r="RHN37" s="85"/>
      <c r="RHO37" s="85"/>
      <c r="RHP37" s="85"/>
      <c r="RHQ37" s="85"/>
      <c r="RHR37" s="85"/>
      <c r="RHS37" s="85"/>
      <c r="RHT37" s="85"/>
      <c r="RHU37" s="85"/>
      <c r="RHV37" s="85"/>
      <c r="RHW37" s="85"/>
      <c r="RHX37" s="85"/>
      <c r="RHY37" s="85"/>
      <c r="RHZ37" s="85"/>
      <c r="RIA37" s="85"/>
      <c r="RIB37" s="85"/>
      <c r="RIC37" s="85"/>
      <c r="RID37" s="85"/>
      <c r="RIE37" s="85"/>
      <c r="RIF37" s="85"/>
      <c r="RIG37" s="85"/>
      <c r="RIH37" s="85"/>
      <c r="RII37" s="85"/>
      <c r="RIJ37" s="85"/>
      <c r="RIK37" s="85"/>
      <c r="RIL37" s="85"/>
      <c r="RIM37" s="85"/>
      <c r="RIN37" s="85"/>
      <c r="RIO37" s="85"/>
      <c r="RIP37" s="85"/>
      <c r="RIQ37" s="85"/>
      <c r="RIR37" s="85"/>
      <c r="RIS37" s="85"/>
      <c r="RIT37" s="85"/>
      <c r="RIU37" s="85"/>
      <c r="RIV37" s="85"/>
      <c r="RIW37" s="85"/>
      <c r="RIX37" s="85"/>
      <c r="RIY37" s="85"/>
      <c r="RIZ37" s="85"/>
      <c r="RJA37" s="85"/>
      <c r="RJB37" s="85"/>
      <c r="RJC37" s="85"/>
      <c r="RJD37" s="85"/>
      <c r="RJE37" s="85"/>
      <c r="RJF37" s="85"/>
      <c r="RJG37" s="85"/>
      <c r="RJH37" s="85"/>
      <c r="RJI37" s="85"/>
      <c r="RJJ37" s="85"/>
      <c r="RJK37" s="85"/>
      <c r="RJL37" s="85"/>
      <c r="RJM37" s="85"/>
      <c r="RJN37" s="85"/>
      <c r="RJO37" s="85"/>
      <c r="RJP37" s="85"/>
      <c r="RJQ37" s="85"/>
      <c r="RJR37" s="85"/>
      <c r="RJS37" s="85"/>
      <c r="RJT37" s="85"/>
      <c r="RJU37" s="85"/>
      <c r="RJV37" s="85"/>
      <c r="RJW37" s="85"/>
      <c r="RJX37" s="85"/>
      <c r="RJY37" s="85"/>
      <c r="RJZ37" s="85"/>
      <c r="RKA37" s="85"/>
      <c r="RKB37" s="85"/>
      <c r="RKC37" s="85"/>
      <c r="RKD37" s="85"/>
      <c r="RKE37" s="85"/>
      <c r="RKF37" s="85"/>
      <c r="RKG37" s="85"/>
      <c r="RKH37" s="85"/>
      <c r="RKI37" s="85"/>
      <c r="RKJ37" s="85"/>
      <c r="RKK37" s="85"/>
      <c r="RKL37" s="85"/>
      <c r="RKM37" s="85"/>
      <c r="RKN37" s="85"/>
      <c r="RKO37" s="85"/>
      <c r="RKP37" s="85"/>
      <c r="RKQ37" s="85"/>
      <c r="RKR37" s="85"/>
      <c r="RKS37" s="85"/>
      <c r="RKT37" s="85"/>
      <c r="RKU37" s="85"/>
      <c r="RKV37" s="85"/>
      <c r="RKW37" s="85"/>
      <c r="RKX37" s="85"/>
      <c r="RKY37" s="85"/>
      <c r="RKZ37" s="85"/>
      <c r="RLA37" s="85"/>
      <c r="RLB37" s="85"/>
      <c r="RLC37" s="85"/>
      <c r="RLD37" s="85"/>
      <c r="RLE37" s="85"/>
      <c r="RLF37" s="85"/>
      <c r="RLG37" s="85"/>
      <c r="RLH37" s="85"/>
      <c r="RLI37" s="85"/>
      <c r="RLJ37" s="85"/>
      <c r="RLK37" s="85"/>
      <c r="RLL37" s="85"/>
      <c r="RLM37" s="85"/>
      <c r="RLN37" s="85"/>
      <c r="RLO37" s="85"/>
      <c r="RLP37" s="85"/>
      <c r="RLQ37" s="85"/>
      <c r="RLR37" s="85"/>
      <c r="RLS37" s="85"/>
      <c r="RLT37" s="85"/>
      <c r="RLU37" s="85"/>
      <c r="RLV37" s="85"/>
      <c r="RLW37" s="85"/>
      <c r="RLX37" s="85"/>
      <c r="RLY37" s="85"/>
      <c r="RLZ37" s="85"/>
      <c r="RMA37" s="85"/>
      <c r="RMB37" s="85"/>
      <c r="RMC37" s="85"/>
      <c r="RMD37" s="85"/>
      <c r="RME37" s="85"/>
      <c r="RMF37" s="85"/>
      <c r="RMG37" s="85"/>
      <c r="RMH37" s="85"/>
      <c r="RMI37" s="85"/>
      <c r="RMJ37" s="85"/>
      <c r="RMK37" s="85"/>
      <c r="RML37" s="85"/>
      <c r="RMM37" s="85"/>
      <c r="RMN37" s="85"/>
      <c r="RMO37" s="85"/>
      <c r="RMP37" s="85"/>
      <c r="RMQ37" s="85"/>
      <c r="RMR37" s="85"/>
      <c r="RMS37" s="85"/>
      <c r="RMT37" s="85"/>
      <c r="RMU37" s="85"/>
      <c r="RMV37" s="85"/>
      <c r="RMW37" s="85"/>
      <c r="RMX37" s="85"/>
      <c r="RMY37" s="85"/>
      <c r="RMZ37" s="85"/>
      <c r="RNA37" s="85"/>
      <c r="RNB37" s="85"/>
      <c r="RNC37" s="85"/>
      <c r="RND37" s="85"/>
      <c r="RNE37" s="85"/>
      <c r="RNF37" s="85"/>
      <c r="RNG37" s="85"/>
      <c r="RNH37" s="85"/>
      <c r="RNI37" s="85"/>
      <c r="RNJ37" s="85"/>
      <c r="RNK37" s="85"/>
      <c r="RNL37" s="85"/>
      <c r="RNM37" s="85"/>
      <c r="RNN37" s="85"/>
      <c r="RNO37" s="85"/>
      <c r="RNP37" s="85"/>
      <c r="RNQ37" s="85"/>
      <c r="RNR37" s="85"/>
      <c r="RNS37" s="85"/>
      <c r="RNT37" s="85"/>
      <c r="RNU37" s="85"/>
      <c r="RNV37" s="85"/>
      <c r="RNW37" s="85"/>
      <c r="RNX37" s="85"/>
      <c r="RNY37" s="85"/>
      <c r="RNZ37" s="85"/>
      <c r="ROA37" s="85"/>
      <c r="ROB37" s="85"/>
      <c r="ROC37" s="85"/>
      <c r="ROD37" s="85"/>
      <c r="ROE37" s="85"/>
      <c r="ROF37" s="85"/>
      <c r="ROG37" s="85"/>
      <c r="ROH37" s="85"/>
      <c r="ROI37" s="85"/>
      <c r="ROJ37" s="85"/>
      <c r="ROK37" s="85"/>
      <c r="ROL37" s="85"/>
      <c r="ROM37" s="85"/>
      <c r="RON37" s="85"/>
      <c r="ROO37" s="85"/>
      <c r="ROP37" s="85"/>
      <c r="ROQ37" s="85"/>
      <c r="ROR37" s="85"/>
      <c r="ROS37" s="85"/>
      <c r="ROT37" s="85"/>
      <c r="ROU37" s="85"/>
      <c r="ROV37" s="85"/>
      <c r="ROW37" s="85"/>
      <c r="ROX37" s="85"/>
      <c r="ROY37" s="85"/>
      <c r="ROZ37" s="85"/>
      <c r="RPA37" s="85"/>
      <c r="RPB37" s="85"/>
      <c r="RPC37" s="85"/>
      <c r="RPD37" s="85"/>
      <c r="RPE37" s="85"/>
      <c r="RPF37" s="85"/>
      <c r="RPG37" s="85"/>
      <c r="RPH37" s="85"/>
      <c r="RPI37" s="85"/>
      <c r="RPJ37" s="85"/>
      <c r="RPK37" s="85"/>
      <c r="RPL37" s="85"/>
      <c r="RPM37" s="85"/>
      <c r="RPN37" s="85"/>
      <c r="RPO37" s="85"/>
      <c r="RPP37" s="85"/>
      <c r="RPQ37" s="85"/>
      <c r="RPR37" s="85"/>
      <c r="RPS37" s="85"/>
      <c r="RPT37" s="85"/>
      <c r="RPU37" s="85"/>
      <c r="RPV37" s="85"/>
      <c r="RPW37" s="85"/>
      <c r="RPX37" s="85"/>
      <c r="RPY37" s="85"/>
      <c r="RPZ37" s="85"/>
      <c r="RQA37" s="85"/>
      <c r="RQB37" s="85"/>
      <c r="RQC37" s="85"/>
      <c r="RQD37" s="85"/>
      <c r="RQE37" s="85"/>
      <c r="RQF37" s="85"/>
      <c r="RQG37" s="85"/>
      <c r="RQH37" s="85"/>
      <c r="RQI37" s="85"/>
      <c r="RQJ37" s="85"/>
      <c r="RQK37" s="85"/>
      <c r="RQL37" s="85"/>
      <c r="RQM37" s="85"/>
      <c r="RQN37" s="85"/>
      <c r="RQO37" s="85"/>
      <c r="RQP37" s="85"/>
      <c r="RQQ37" s="85"/>
      <c r="RQR37" s="85"/>
      <c r="RQS37" s="85"/>
      <c r="RQT37" s="85"/>
      <c r="RQU37" s="85"/>
      <c r="RQV37" s="85"/>
      <c r="RQW37" s="85"/>
      <c r="RQX37" s="85"/>
      <c r="RQY37" s="85"/>
      <c r="RQZ37" s="85"/>
      <c r="RRA37" s="85"/>
      <c r="RRB37" s="85"/>
      <c r="RRC37" s="85"/>
      <c r="RRD37" s="85"/>
      <c r="RRE37" s="85"/>
      <c r="RRF37" s="85"/>
      <c r="RRG37" s="85"/>
      <c r="RRH37" s="85"/>
      <c r="RRI37" s="85"/>
      <c r="RRJ37" s="85"/>
      <c r="RRK37" s="85"/>
      <c r="RRL37" s="85"/>
      <c r="RRM37" s="85"/>
      <c r="RRN37" s="85"/>
      <c r="RRO37" s="85"/>
      <c r="RRP37" s="85"/>
      <c r="RRQ37" s="85"/>
      <c r="RRR37" s="85"/>
      <c r="RRS37" s="85"/>
      <c r="RRT37" s="85"/>
      <c r="RRU37" s="85"/>
      <c r="RRV37" s="85"/>
      <c r="RRW37" s="85"/>
      <c r="RRX37" s="85"/>
      <c r="RRY37" s="85"/>
      <c r="RRZ37" s="85"/>
      <c r="RSA37" s="85"/>
      <c r="RSB37" s="85"/>
      <c r="RSC37" s="85"/>
      <c r="RSD37" s="85"/>
      <c r="RSE37" s="85"/>
      <c r="RSF37" s="85"/>
      <c r="RSG37" s="85"/>
      <c r="RSH37" s="85"/>
      <c r="RSI37" s="85"/>
      <c r="RSJ37" s="85"/>
      <c r="RSK37" s="85"/>
      <c r="RSL37" s="85"/>
      <c r="RSM37" s="85"/>
      <c r="RSN37" s="85"/>
      <c r="RSO37" s="85"/>
      <c r="RSP37" s="85"/>
      <c r="RSQ37" s="85"/>
      <c r="RSR37" s="85"/>
      <c r="RSS37" s="85"/>
      <c r="RST37" s="85"/>
      <c r="RSU37" s="85"/>
      <c r="RSV37" s="85"/>
      <c r="RSW37" s="85"/>
      <c r="RSX37" s="85"/>
      <c r="RSY37" s="85"/>
      <c r="RSZ37" s="85"/>
      <c r="RTA37" s="85"/>
      <c r="RTB37" s="85"/>
      <c r="RTC37" s="85"/>
      <c r="RTD37" s="85"/>
      <c r="RTE37" s="85"/>
      <c r="RTF37" s="85"/>
      <c r="RTG37" s="85"/>
      <c r="RTH37" s="85"/>
      <c r="RTI37" s="85"/>
      <c r="RTJ37" s="85"/>
      <c r="RTK37" s="85"/>
      <c r="RTL37" s="85"/>
      <c r="RTM37" s="85"/>
      <c r="RTN37" s="85"/>
      <c r="RTO37" s="85"/>
      <c r="RTP37" s="85"/>
      <c r="RTQ37" s="85"/>
      <c r="RTR37" s="85"/>
      <c r="RTS37" s="85"/>
      <c r="RTT37" s="85"/>
      <c r="RTU37" s="85"/>
      <c r="RTV37" s="85"/>
      <c r="RTW37" s="85"/>
      <c r="RTX37" s="85"/>
      <c r="RTY37" s="85"/>
      <c r="RTZ37" s="85"/>
      <c r="RUA37" s="85"/>
      <c r="RUB37" s="85"/>
      <c r="RUC37" s="85"/>
      <c r="RUD37" s="85"/>
      <c r="RUE37" s="85"/>
      <c r="RUF37" s="85"/>
      <c r="RUG37" s="85"/>
      <c r="RUH37" s="85"/>
      <c r="RUI37" s="85"/>
      <c r="RUJ37" s="85"/>
      <c r="RUK37" s="85"/>
      <c r="RUL37" s="85"/>
      <c r="RUM37" s="85"/>
      <c r="RUN37" s="85"/>
      <c r="RUO37" s="85"/>
      <c r="RUP37" s="85"/>
      <c r="RUQ37" s="85"/>
      <c r="RUR37" s="85"/>
      <c r="RUS37" s="85"/>
      <c r="RUT37" s="85"/>
      <c r="RUU37" s="85"/>
      <c r="RUV37" s="85"/>
      <c r="RUW37" s="85"/>
      <c r="RUX37" s="85"/>
      <c r="RUY37" s="85"/>
      <c r="RUZ37" s="85"/>
      <c r="RVA37" s="85"/>
      <c r="RVB37" s="85"/>
      <c r="RVC37" s="85"/>
      <c r="RVD37" s="85"/>
      <c r="RVE37" s="85"/>
      <c r="RVF37" s="85"/>
      <c r="RVG37" s="85"/>
      <c r="RVH37" s="85"/>
      <c r="RVI37" s="85"/>
      <c r="RVJ37" s="85"/>
      <c r="RVK37" s="85"/>
      <c r="RVL37" s="85"/>
      <c r="RVM37" s="85"/>
      <c r="RVN37" s="85"/>
      <c r="RVO37" s="85"/>
      <c r="RVP37" s="85"/>
      <c r="RVQ37" s="85"/>
      <c r="RVR37" s="85"/>
      <c r="RVS37" s="85"/>
      <c r="RVT37" s="85"/>
      <c r="RVU37" s="85"/>
      <c r="RVV37" s="85"/>
      <c r="RVW37" s="85"/>
      <c r="RVX37" s="85"/>
      <c r="RVY37" s="85"/>
      <c r="RVZ37" s="85"/>
      <c r="RWA37" s="85"/>
      <c r="RWB37" s="85"/>
      <c r="RWC37" s="85"/>
      <c r="RWD37" s="85"/>
      <c r="RWE37" s="85"/>
      <c r="RWF37" s="85"/>
      <c r="RWG37" s="85"/>
      <c r="RWH37" s="85"/>
      <c r="RWI37" s="85"/>
      <c r="RWJ37" s="85"/>
      <c r="RWK37" s="85"/>
      <c r="RWL37" s="85"/>
      <c r="RWM37" s="85"/>
      <c r="RWN37" s="85"/>
      <c r="RWO37" s="85"/>
      <c r="RWP37" s="85"/>
      <c r="RWQ37" s="85"/>
      <c r="RWR37" s="85"/>
      <c r="RWS37" s="85"/>
      <c r="RWT37" s="85"/>
      <c r="RWU37" s="85"/>
      <c r="RWV37" s="85"/>
      <c r="RWW37" s="85"/>
      <c r="RWX37" s="85"/>
      <c r="RWY37" s="85"/>
      <c r="RWZ37" s="85"/>
      <c r="RXA37" s="85"/>
      <c r="RXB37" s="85"/>
      <c r="RXC37" s="85"/>
      <c r="RXD37" s="85"/>
      <c r="RXE37" s="85"/>
      <c r="RXF37" s="85"/>
      <c r="RXG37" s="85"/>
      <c r="RXH37" s="85"/>
      <c r="RXI37" s="85"/>
      <c r="RXJ37" s="85"/>
      <c r="RXK37" s="85"/>
      <c r="RXL37" s="85"/>
      <c r="RXM37" s="85"/>
      <c r="RXN37" s="85"/>
      <c r="RXO37" s="85"/>
      <c r="RXP37" s="85"/>
      <c r="RXQ37" s="85"/>
      <c r="RXR37" s="85"/>
      <c r="RXS37" s="85"/>
      <c r="RXT37" s="85"/>
      <c r="RXU37" s="85"/>
      <c r="RXV37" s="85"/>
      <c r="RXW37" s="85"/>
      <c r="RXX37" s="85"/>
      <c r="RXY37" s="85"/>
      <c r="RXZ37" s="85"/>
      <c r="RYA37" s="85"/>
      <c r="RYB37" s="85"/>
      <c r="RYC37" s="85"/>
      <c r="RYD37" s="85"/>
      <c r="RYE37" s="85"/>
      <c r="RYF37" s="85"/>
      <c r="RYG37" s="85"/>
      <c r="RYH37" s="85"/>
      <c r="RYI37" s="85"/>
      <c r="RYJ37" s="85"/>
      <c r="RYK37" s="85"/>
      <c r="RYL37" s="85"/>
      <c r="RYM37" s="85"/>
      <c r="RYN37" s="85"/>
      <c r="RYO37" s="85"/>
      <c r="RYP37" s="85"/>
      <c r="RYQ37" s="85"/>
      <c r="RYR37" s="85"/>
      <c r="RYS37" s="85"/>
      <c r="RYT37" s="85"/>
      <c r="RYU37" s="85"/>
      <c r="RYV37" s="85"/>
      <c r="RYW37" s="85"/>
      <c r="RYX37" s="85"/>
      <c r="RYY37" s="85"/>
      <c r="RYZ37" s="85"/>
      <c r="RZA37" s="85"/>
      <c r="RZB37" s="85"/>
      <c r="RZC37" s="85"/>
      <c r="RZD37" s="85"/>
      <c r="RZE37" s="85"/>
      <c r="RZF37" s="85"/>
      <c r="RZG37" s="85"/>
      <c r="RZH37" s="85"/>
      <c r="RZI37" s="85"/>
      <c r="RZJ37" s="85"/>
      <c r="RZK37" s="85"/>
      <c r="RZL37" s="85"/>
      <c r="RZM37" s="85"/>
      <c r="RZN37" s="85"/>
      <c r="RZO37" s="85"/>
      <c r="RZP37" s="85"/>
      <c r="RZQ37" s="85"/>
      <c r="RZR37" s="85"/>
      <c r="RZS37" s="85"/>
      <c r="RZT37" s="85"/>
      <c r="RZU37" s="85"/>
      <c r="RZV37" s="85"/>
      <c r="RZW37" s="85"/>
      <c r="RZX37" s="85"/>
      <c r="RZY37" s="85"/>
      <c r="RZZ37" s="85"/>
      <c r="SAA37" s="85"/>
      <c r="SAB37" s="85"/>
      <c r="SAC37" s="85"/>
      <c r="SAD37" s="85"/>
      <c r="SAE37" s="85"/>
      <c r="SAF37" s="85"/>
      <c r="SAG37" s="85"/>
      <c r="SAH37" s="85"/>
      <c r="SAI37" s="85"/>
      <c r="SAJ37" s="85"/>
      <c r="SAK37" s="85"/>
      <c r="SAL37" s="85"/>
      <c r="SAM37" s="85"/>
      <c r="SAN37" s="85"/>
      <c r="SAO37" s="85"/>
      <c r="SAP37" s="85"/>
      <c r="SAQ37" s="85"/>
      <c r="SAR37" s="85"/>
      <c r="SAS37" s="85"/>
      <c r="SAT37" s="85"/>
      <c r="SAU37" s="85"/>
      <c r="SAV37" s="85"/>
      <c r="SAW37" s="85"/>
      <c r="SAX37" s="85"/>
      <c r="SAY37" s="85"/>
      <c r="SAZ37" s="85"/>
      <c r="SBA37" s="85"/>
      <c r="SBB37" s="85"/>
      <c r="SBC37" s="85"/>
      <c r="SBD37" s="85"/>
      <c r="SBE37" s="85"/>
      <c r="SBF37" s="85"/>
      <c r="SBG37" s="85"/>
      <c r="SBH37" s="85"/>
      <c r="SBI37" s="85"/>
      <c r="SBJ37" s="85"/>
      <c r="SBK37" s="85"/>
      <c r="SBL37" s="85"/>
      <c r="SBM37" s="85"/>
      <c r="SBN37" s="85"/>
      <c r="SBO37" s="85"/>
      <c r="SBP37" s="85"/>
      <c r="SBQ37" s="85"/>
      <c r="SBR37" s="85"/>
      <c r="SBS37" s="85"/>
      <c r="SBT37" s="85"/>
      <c r="SBU37" s="85"/>
      <c r="SBV37" s="85"/>
      <c r="SBW37" s="85"/>
      <c r="SBX37" s="85"/>
      <c r="SBY37" s="85"/>
      <c r="SBZ37" s="85"/>
      <c r="SCA37" s="85"/>
      <c r="SCB37" s="85"/>
      <c r="SCC37" s="85"/>
      <c r="SCD37" s="85"/>
      <c r="SCE37" s="85"/>
      <c r="SCF37" s="85"/>
      <c r="SCG37" s="85"/>
      <c r="SCH37" s="85"/>
      <c r="SCI37" s="85"/>
      <c r="SCJ37" s="85"/>
      <c r="SCK37" s="85"/>
      <c r="SCL37" s="85"/>
      <c r="SCM37" s="85"/>
      <c r="SCN37" s="85"/>
      <c r="SCO37" s="85"/>
      <c r="SCP37" s="85"/>
      <c r="SCQ37" s="85"/>
      <c r="SCR37" s="85"/>
      <c r="SCS37" s="85"/>
      <c r="SCT37" s="85"/>
      <c r="SCU37" s="85"/>
      <c r="SCV37" s="85"/>
      <c r="SCW37" s="85"/>
      <c r="SCX37" s="85"/>
      <c r="SCY37" s="85"/>
      <c r="SCZ37" s="85"/>
      <c r="SDA37" s="85"/>
      <c r="SDB37" s="85"/>
      <c r="SDC37" s="85"/>
      <c r="SDD37" s="85"/>
      <c r="SDE37" s="85"/>
      <c r="SDF37" s="85"/>
      <c r="SDG37" s="85"/>
      <c r="SDH37" s="85"/>
      <c r="SDI37" s="85"/>
      <c r="SDJ37" s="85"/>
      <c r="SDK37" s="85"/>
      <c r="SDL37" s="85"/>
      <c r="SDM37" s="85"/>
      <c r="SDN37" s="85"/>
      <c r="SDO37" s="85"/>
      <c r="SDP37" s="85"/>
      <c r="SDQ37" s="85"/>
      <c r="SDR37" s="85"/>
      <c r="SDS37" s="85"/>
      <c r="SDT37" s="85"/>
      <c r="SDU37" s="85"/>
      <c r="SDV37" s="85"/>
      <c r="SDW37" s="85"/>
      <c r="SDX37" s="85"/>
      <c r="SDY37" s="85"/>
      <c r="SDZ37" s="85"/>
      <c r="SEA37" s="85"/>
      <c r="SEB37" s="85"/>
      <c r="SEC37" s="85"/>
      <c r="SED37" s="85"/>
      <c r="SEE37" s="85"/>
      <c r="SEF37" s="85"/>
      <c r="SEG37" s="85"/>
      <c r="SEH37" s="85"/>
      <c r="SEI37" s="85"/>
      <c r="SEJ37" s="85"/>
      <c r="SEK37" s="85"/>
      <c r="SEL37" s="85"/>
      <c r="SEM37" s="85"/>
      <c r="SEN37" s="85"/>
      <c r="SEO37" s="85"/>
      <c r="SEP37" s="85"/>
      <c r="SEQ37" s="85"/>
      <c r="SER37" s="85"/>
      <c r="SES37" s="85"/>
      <c r="SET37" s="85"/>
      <c r="SEU37" s="85"/>
      <c r="SEV37" s="85"/>
      <c r="SEW37" s="85"/>
      <c r="SEX37" s="85"/>
      <c r="SEY37" s="85"/>
      <c r="SEZ37" s="85"/>
      <c r="SFA37" s="85"/>
      <c r="SFB37" s="85"/>
      <c r="SFC37" s="85"/>
      <c r="SFD37" s="85"/>
      <c r="SFE37" s="85"/>
      <c r="SFF37" s="85"/>
      <c r="SFG37" s="85"/>
      <c r="SFH37" s="85"/>
      <c r="SFI37" s="85"/>
      <c r="SFJ37" s="85"/>
      <c r="SFK37" s="85"/>
      <c r="SFL37" s="85"/>
      <c r="SFM37" s="85"/>
      <c r="SFN37" s="85"/>
      <c r="SFO37" s="85"/>
      <c r="SFP37" s="85"/>
      <c r="SFQ37" s="85"/>
      <c r="SFR37" s="85"/>
      <c r="SFS37" s="85"/>
      <c r="SFT37" s="85"/>
      <c r="SFU37" s="85"/>
      <c r="SFV37" s="85"/>
      <c r="SFW37" s="85"/>
      <c r="SFX37" s="85"/>
      <c r="SFY37" s="85"/>
      <c r="SFZ37" s="85"/>
      <c r="SGA37" s="85"/>
      <c r="SGB37" s="85"/>
      <c r="SGC37" s="85"/>
      <c r="SGD37" s="85"/>
      <c r="SGE37" s="85"/>
      <c r="SGF37" s="85"/>
      <c r="SGG37" s="85"/>
      <c r="SGH37" s="85"/>
      <c r="SGI37" s="85"/>
      <c r="SGJ37" s="85"/>
      <c r="SGK37" s="85"/>
      <c r="SGL37" s="85"/>
      <c r="SGM37" s="85"/>
      <c r="SGN37" s="85"/>
      <c r="SGO37" s="85"/>
      <c r="SGP37" s="85"/>
      <c r="SGQ37" s="85"/>
      <c r="SGR37" s="85"/>
      <c r="SGS37" s="85"/>
      <c r="SGT37" s="85"/>
      <c r="SGU37" s="85"/>
      <c r="SGV37" s="85"/>
      <c r="SGW37" s="85"/>
      <c r="SGX37" s="85"/>
      <c r="SGY37" s="85"/>
      <c r="SGZ37" s="85"/>
      <c r="SHA37" s="85"/>
      <c r="SHB37" s="85"/>
      <c r="SHC37" s="85"/>
      <c r="SHD37" s="85"/>
      <c r="SHE37" s="85"/>
      <c r="SHF37" s="85"/>
      <c r="SHG37" s="85"/>
      <c r="SHH37" s="85"/>
      <c r="SHI37" s="85"/>
      <c r="SHJ37" s="85"/>
      <c r="SHK37" s="85"/>
      <c r="SHL37" s="85"/>
      <c r="SHM37" s="85"/>
      <c r="SHN37" s="85"/>
      <c r="SHO37" s="85"/>
      <c r="SHP37" s="85"/>
      <c r="SHQ37" s="85"/>
      <c r="SHR37" s="85"/>
      <c r="SHS37" s="85"/>
      <c r="SHT37" s="85"/>
      <c r="SHU37" s="85"/>
      <c r="SHV37" s="85"/>
      <c r="SHW37" s="85"/>
      <c r="SHX37" s="85"/>
      <c r="SHY37" s="85"/>
      <c r="SHZ37" s="85"/>
      <c r="SIA37" s="85"/>
      <c r="SIB37" s="85"/>
      <c r="SIC37" s="85"/>
      <c r="SID37" s="85"/>
      <c r="SIE37" s="85"/>
      <c r="SIF37" s="85"/>
      <c r="SIG37" s="85"/>
      <c r="SIH37" s="85"/>
      <c r="SII37" s="85"/>
      <c r="SIJ37" s="85"/>
      <c r="SIK37" s="85"/>
      <c r="SIL37" s="85"/>
      <c r="SIM37" s="85"/>
      <c r="SIN37" s="85"/>
      <c r="SIO37" s="85"/>
      <c r="SIP37" s="85"/>
      <c r="SIQ37" s="85"/>
      <c r="SIR37" s="85"/>
      <c r="SIS37" s="85"/>
      <c r="SIT37" s="85"/>
      <c r="SIU37" s="85"/>
      <c r="SIV37" s="85"/>
      <c r="SIW37" s="85"/>
      <c r="SIX37" s="85"/>
      <c r="SIY37" s="85"/>
      <c r="SIZ37" s="85"/>
      <c r="SJA37" s="85"/>
      <c r="SJB37" s="85"/>
      <c r="SJC37" s="85"/>
      <c r="SJD37" s="85"/>
      <c r="SJE37" s="85"/>
      <c r="SJF37" s="85"/>
      <c r="SJG37" s="85"/>
      <c r="SJH37" s="85"/>
      <c r="SJI37" s="85"/>
      <c r="SJJ37" s="85"/>
      <c r="SJK37" s="85"/>
      <c r="SJL37" s="85"/>
      <c r="SJM37" s="85"/>
      <c r="SJN37" s="85"/>
      <c r="SJO37" s="85"/>
      <c r="SJP37" s="85"/>
      <c r="SJQ37" s="85"/>
      <c r="SJR37" s="85"/>
      <c r="SJS37" s="85"/>
      <c r="SJT37" s="85"/>
      <c r="SJU37" s="85"/>
      <c r="SJV37" s="85"/>
      <c r="SJW37" s="85"/>
      <c r="SJX37" s="85"/>
      <c r="SJY37" s="85"/>
      <c r="SJZ37" s="85"/>
      <c r="SKA37" s="85"/>
      <c r="SKB37" s="85"/>
      <c r="SKC37" s="85"/>
      <c r="SKD37" s="85"/>
      <c r="SKE37" s="85"/>
      <c r="SKF37" s="85"/>
      <c r="SKG37" s="85"/>
      <c r="SKH37" s="85"/>
      <c r="SKI37" s="85"/>
      <c r="SKJ37" s="85"/>
      <c r="SKK37" s="85"/>
      <c r="SKL37" s="85"/>
      <c r="SKM37" s="85"/>
      <c r="SKN37" s="85"/>
      <c r="SKO37" s="85"/>
      <c r="SKP37" s="85"/>
      <c r="SKQ37" s="85"/>
      <c r="SKR37" s="85"/>
      <c r="SKS37" s="85"/>
      <c r="SKT37" s="85"/>
      <c r="SKU37" s="85"/>
      <c r="SKV37" s="85"/>
      <c r="SKW37" s="85"/>
      <c r="SKX37" s="85"/>
      <c r="SKY37" s="85"/>
      <c r="SKZ37" s="85"/>
      <c r="SLA37" s="85"/>
      <c r="SLB37" s="85"/>
      <c r="SLC37" s="85"/>
      <c r="SLD37" s="85"/>
      <c r="SLE37" s="85"/>
      <c r="SLF37" s="85"/>
      <c r="SLG37" s="85"/>
      <c r="SLH37" s="85"/>
      <c r="SLI37" s="85"/>
      <c r="SLJ37" s="85"/>
      <c r="SLK37" s="85"/>
      <c r="SLL37" s="85"/>
      <c r="SLM37" s="85"/>
      <c r="SLN37" s="85"/>
      <c r="SLO37" s="85"/>
      <c r="SLP37" s="85"/>
      <c r="SLQ37" s="85"/>
      <c r="SLR37" s="85"/>
      <c r="SLS37" s="85"/>
      <c r="SLT37" s="85"/>
      <c r="SLU37" s="85"/>
      <c r="SLV37" s="85"/>
      <c r="SLW37" s="85"/>
      <c r="SLX37" s="85"/>
      <c r="SLY37" s="85"/>
      <c r="SLZ37" s="85"/>
      <c r="SMA37" s="85"/>
      <c r="SMB37" s="85"/>
      <c r="SMC37" s="85"/>
      <c r="SMD37" s="85"/>
      <c r="SME37" s="85"/>
      <c r="SMF37" s="85"/>
      <c r="SMG37" s="85"/>
      <c r="SMH37" s="85"/>
      <c r="SMI37" s="85"/>
      <c r="SMJ37" s="85"/>
      <c r="SMK37" s="85"/>
      <c r="SML37" s="85"/>
      <c r="SMM37" s="85"/>
      <c r="SMN37" s="85"/>
      <c r="SMO37" s="85"/>
      <c r="SMP37" s="85"/>
      <c r="SMQ37" s="85"/>
      <c r="SMR37" s="85"/>
      <c r="SMS37" s="85"/>
      <c r="SMT37" s="85"/>
      <c r="SMU37" s="85"/>
      <c r="SMV37" s="85"/>
      <c r="SMW37" s="85"/>
      <c r="SMX37" s="85"/>
      <c r="SMY37" s="85"/>
      <c r="SMZ37" s="85"/>
      <c r="SNA37" s="85"/>
      <c r="SNB37" s="85"/>
      <c r="SNC37" s="85"/>
      <c r="SND37" s="85"/>
      <c r="SNE37" s="85"/>
      <c r="SNF37" s="85"/>
      <c r="SNG37" s="85"/>
      <c r="SNH37" s="85"/>
      <c r="SNI37" s="85"/>
      <c r="SNJ37" s="85"/>
      <c r="SNK37" s="85"/>
      <c r="SNL37" s="85"/>
      <c r="SNM37" s="85"/>
      <c r="SNN37" s="85"/>
      <c r="SNO37" s="85"/>
      <c r="SNP37" s="85"/>
      <c r="SNQ37" s="85"/>
      <c r="SNR37" s="85"/>
      <c r="SNS37" s="85"/>
      <c r="SNT37" s="85"/>
      <c r="SNU37" s="85"/>
      <c r="SNV37" s="85"/>
      <c r="SNW37" s="85"/>
      <c r="SNX37" s="85"/>
      <c r="SNY37" s="85"/>
      <c r="SNZ37" s="85"/>
      <c r="SOA37" s="85"/>
      <c r="SOB37" s="85"/>
      <c r="SOC37" s="85"/>
      <c r="SOD37" s="85"/>
      <c r="SOE37" s="85"/>
      <c r="SOF37" s="85"/>
      <c r="SOG37" s="85"/>
      <c r="SOH37" s="85"/>
      <c r="SOI37" s="85"/>
      <c r="SOJ37" s="85"/>
      <c r="SOK37" s="85"/>
      <c r="SOL37" s="85"/>
      <c r="SOM37" s="85"/>
      <c r="SON37" s="85"/>
      <c r="SOO37" s="85"/>
      <c r="SOP37" s="85"/>
      <c r="SOQ37" s="85"/>
      <c r="SOR37" s="85"/>
      <c r="SOS37" s="85"/>
      <c r="SOT37" s="85"/>
      <c r="SOU37" s="85"/>
      <c r="SOV37" s="85"/>
      <c r="SOW37" s="85"/>
      <c r="SOX37" s="85"/>
      <c r="SOY37" s="85"/>
      <c r="SOZ37" s="85"/>
      <c r="SPA37" s="85"/>
      <c r="SPB37" s="85"/>
      <c r="SPC37" s="85"/>
      <c r="SPD37" s="85"/>
      <c r="SPE37" s="85"/>
      <c r="SPF37" s="85"/>
      <c r="SPG37" s="85"/>
      <c r="SPH37" s="85"/>
      <c r="SPI37" s="85"/>
      <c r="SPJ37" s="85"/>
      <c r="SPK37" s="85"/>
      <c r="SPL37" s="85"/>
      <c r="SPM37" s="85"/>
      <c r="SPN37" s="85"/>
      <c r="SPO37" s="85"/>
      <c r="SPP37" s="85"/>
      <c r="SPQ37" s="85"/>
      <c r="SPR37" s="85"/>
      <c r="SPS37" s="85"/>
      <c r="SPT37" s="85"/>
      <c r="SPU37" s="85"/>
      <c r="SPV37" s="85"/>
      <c r="SPW37" s="85"/>
      <c r="SPX37" s="85"/>
      <c r="SPY37" s="85"/>
      <c r="SPZ37" s="85"/>
      <c r="SQA37" s="85"/>
      <c r="SQB37" s="85"/>
      <c r="SQC37" s="85"/>
      <c r="SQD37" s="85"/>
      <c r="SQE37" s="85"/>
      <c r="SQF37" s="85"/>
      <c r="SQG37" s="85"/>
      <c r="SQH37" s="85"/>
      <c r="SQI37" s="85"/>
      <c r="SQJ37" s="85"/>
      <c r="SQK37" s="85"/>
      <c r="SQL37" s="85"/>
      <c r="SQM37" s="85"/>
      <c r="SQN37" s="85"/>
      <c r="SQO37" s="85"/>
      <c r="SQP37" s="85"/>
      <c r="SQQ37" s="85"/>
      <c r="SQR37" s="85"/>
      <c r="SQS37" s="85"/>
      <c r="SQT37" s="85"/>
      <c r="SQU37" s="85"/>
      <c r="SQV37" s="85"/>
      <c r="SQW37" s="85"/>
      <c r="SQX37" s="85"/>
      <c r="SQY37" s="85"/>
      <c r="SQZ37" s="85"/>
      <c r="SRA37" s="85"/>
      <c r="SRB37" s="85"/>
      <c r="SRC37" s="85"/>
      <c r="SRD37" s="85"/>
      <c r="SRE37" s="85"/>
      <c r="SRF37" s="85"/>
      <c r="SRG37" s="85"/>
      <c r="SRH37" s="85"/>
      <c r="SRI37" s="85"/>
      <c r="SRJ37" s="85"/>
      <c r="SRK37" s="85"/>
      <c r="SRL37" s="85"/>
      <c r="SRM37" s="85"/>
      <c r="SRN37" s="85"/>
      <c r="SRO37" s="85"/>
      <c r="SRP37" s="85"/>
      <c r="SRQ37" s="85"/>
      <c r="SRR37" s="85"/>
      <c r="SRS37" s="85"/>
      <c r="SRT37" s="85"/>
      <c r="SRU37" s="85"/>
      <c r="SRV37" s="85"/>
      <c r="SRW37" s="85"/>
      <c r="SRX37" s="85"/>
      <c r="SRY37" s="85"/>
      <c r="SRZ37" s="85"/>
      <c r="SSA37" s="85"/>
      <c r="SSB37" s="85"/>
      <c r="SSC37" s="85"/>
      <c r="SSD37" s="85"/>
      <c r="SSE37" s="85"/>
      <c r="SSF37" s="85"/>
      <c r="SSG37" s="85"/>
      <c r="SSH37" s="85"/>
      <c r="SSI37" s="85"/>
      <c r="SSJ37" s="85"/>
      <c r="SSK37" s="85"/>
      <c r="SSL37" s="85"/>
      <c r="SSM37" s="85"/>
      <c r="SSN37" s="85"/>
      <c r="SSO37" s="85"/>
      <c r="SSP37" s="85"/>
      <c r="SSQ37" s="85"/>
      <c r="SSR37" s="85"/>
      <c r="SSS37" s="85"/>
      <c r="SST37" s="85"/>
      <c r="SSU37" s="85"/>
      <c r="SSV37" s="85"/>
      <c r="SSW37" s="85"/>
      <c r="SSX37" s="85"/>
      <c r="SSY37" s="85"/>
      <c r="SSZ37" s="85"/>
      <c r="STA37" s="85"/>
      <c r="STB37" s="85"/>
      <c r="STC37" s="85"/>
      <c r="STD37" s="85"/>
      <c r="STE37" s="85"/>
      <c r="STF37" s="85"/>
      <c r="STG37" s="85"/>
      <c r="STH37" s="85"/>
      <c r="STI37" s="85"/>
      <c r="STJ37" s="85"/>
      <c r="STK37" s="85"/>
      <c r="STL37" s="85"/>
      <c r="STM37" s="85"/>
      <c r="STN37" s="85"/>
      <c r="STO37" s="85"/>
      <c r="STP37" s="85"/>
      <c r="STQ37" s="85"/>
      <c r="STR37" s="85"/>
      <c r="STS37" s="85"/>
      <c r="STT37" s="85"/>
      <c r="STU37" s="85"/>
      <c r="STV37" s="85"/>
      <c r="STW37" s="85"/>
      <c r="STX37" s="85"/>
      <c r="STY37" s="85"/>
      <c r="STZ37" s="85"/>
      <c r="SUA37" s="85"/>
      <c r="SUB37" s="85"/>
      <c r="SUC37" s="85"/>
      <c r="SUD37" s="85"/>
      <c r="SUE37" s="85"/>
      <c r="SUF37" s="85"/>
      <c r="SUG37" s="85"/>
      <c r="SUH37" s="85"/>
      <c r="SUI37" s="85"/>
      <c r="SUJ37" s="85"/>
      <c r="SUK37" s="85"/>
      <c r="SUL37" s="85"/>
      <c r="SUM37" s="85"/>
      <c r="SUN37" s="85"/>
      <c r="SUO37" s="85"/>
      <c r="SUP37" s="85"/>
      <c r="SUQ37" s="85"/>
      <c r="SUR37" s="85"/>
      <c r="SUS37" s="85"/>
      <c r="SUT37" s="85"/>
      <c r="SUU37" s="85"/>
      <c r="SUV37" s="85"/>
      <c r="SUW37" s="85"/>
      <c r="SUX37" s="85"/>
      <c r="SUY37" s="85"/>
      <c r="SUZ37" s="85"/>
      <c r="SVA37" s="85"/>
      <c r="SVB37" s="85"/>
      <c r="SVC37" s="85"/>
      <c r="SVD37" s="85"/>
      <c r="SVE37" s="85"/>
      <c r="SVF37" s="85"/>
      <c r="SVG37" s="85"/>
      <c r="SVH37" s="85"/>
      <c r="SVI37" s="85"/>
      <c r="SVJ37" s="85"/>
      <c r="SVK37" s="85"/>
      <c r="SVL37" s="85"/>
      <c r="SVM37" s="85"/>
      <c r="SVN37" s="85"/>
      <c r="SVO37" s="85"/>
      <c r="SVP37" s="85"/>
      <c r="SVQ37" s="85"/>
      <c r="SVR37" s="85"/>
      <c r="SVS37" s="85"/>
      <c r="SVT37" s="85"/>
      <c r="SVU37" s="85"/>
      <c r="SVV37" s="85"/>
      <c r="SVW37" s="85"/>
      <c r="SVX37" s="85"/>
      <c r="SVY37" s="85"/>
      <c r="SVZ37" s="85"/>
      <c r="SWA37" s="85"/>
      <c r="SWB37" s="85"/>
      <c r="SWC37" s="85"/>
      <c r="SWD37" s="85"/>
      <c r="SWE37" s="85"/>
      <c r="SWF37" s="85"/>
      <c r="SWG37" s="85"/>
      <c r="SWH37" s="85"/>
      <c r="SWI37" s="85"/>
      <c r="SWJ37" s="85"/>
      <c r="SWK37" s="85"/>
      <c r="SWL37" s="85"/>
      <c r="SWM37" s="85"/>
      <c r="SWN37" s="85"/>
      <c r="SWO37" s="85"/>
      <c r="SWP37" s="85"/>
      <c r="SWQ37" s="85"/>
      <c r="SWR37" s="85"/>
      <c r="SWS37" s="85"/>
      <c r="SWT37" s="85"/>
      <c r="SWU37" s="85"/>
      <c r="SWV37" s="85"/>
      <c r="SWW37" s="85"/>
      <c r="SWX37" s="85"/>
      <c r="SWY37" s="85"/>
      <c r="SWZ37" s="85"/>
      <c r="SXA37" s="85"/>
      <c r="SXB37" s="85"/>
      <c r="SXC37" s="85"/>
      <c r="SXD37" s="85"/>
      <c r="SXE37" s="85"/>
      <c r="SXF37" s="85"/>
      <c r="SXG37" s="85"/>
      <c r="SXH37" s="85"/>
      <c r="SXI37" s="85"/>
      <c r="SXJ37" s="85"/>
      <c r="SXK37" s="85"/>
      <c r="SXL37" s="85"/>
      <c r="SXM37" s="85"/>
      <c r="SXN37" s="85"/>
      <c r="SXO37" s="85"/>
      <c r="SXP37" s="85"/>
      <c r="SXQ37" s="85"/>
      <c r="SXR37" s="85"/>
      <c r="SXS37" s="85"/>
      <c r="SXT37" s="85"/>
      <c r="SXU37" s="85"/>
      <c r="SXV37" s="85"/>
      <c r="SXW37" s="85"/>
      <c r="SXX37" s="85"/>
      <c r="SXY37" s="85"/>
      <c r="SXZ37" s="85"/>
      <c r="SYA37" s="85"/>
      <c r="SYB37" s="85"/>
      <c r="SYC37" s="85"/>
      <c r="SYD37" s="85"/>
      <c r="SYE37" s="85"/>
      <c r="SYF37" s="85"/>
      <c r="SYG37" s="85"/>
      <c r="SYH37" s="85"/>
      <c r="SYI37" s="85"/>
      <c r="SYJ37" s="85"/>
      <c r="SYK37" s="85"/>
      <c r="SYL37" s="85"/>
      <c r="SYM37" s="85"/>
      <c r="SYN37" s="85"/>
      <c r="SYO37" s="85"/>
      <c r="SYP37" s="85"/>
      <c r="SYQ37" s="85"/>
      <c r="SYR37" s="85"/>
      <c r="SYS37" s="85"/>
      <c r="SYT37" s="85"/>
      <c r="SYU37" s="85"/>
      <c r="SYV37" s="85"/>
      <c r="SYW37" s="85"/>
      <c r="SYX37" s="85"/>
      <c r="SYY37" s="85"/>
      <c r="SYZ37" s="85"/>
      <c r="SZA37" s="85"/>
      <c r="SZB37" s="85"/>
      <c r="SZC37" s="85"/>
      <c r="SZD37" s="85"/>
      <c r="SZE37" s="85"/>
      <c r="SZF37" s="85"/>
      <c r="SZG37" s="85"/>
      <c r="SZH37" s="85"/>
      <c r="SZI37" s="85"/>
      <c r="SZJ37" s="85"/>
      <c r="SZK37" s="85"/>
      <c r="SZL37" s="85"/>
      <c r="SZM37" s="85"/>
      <c r="SZN37" s="85"/>
      <c r="SZO37" s="85"/>
      <c r="SZP37" s="85"/>
      <c r="SZQ37" s="85"/>
      <c r="SZR37" s="85"/>
      <c r="SZS37" s="85"/>
      <c r="SZT37" s="85"/>
      <c r="SZU37" s="85"/>
      <c r="SZV37" s="85"/>
      <c r="SZW37" s="85"/>
      <c r="SZX37" s="85"/>
      <c r="SZY37" s="85"/>
      <c r="SZZ37" s="85"/>
      <c r="TAA37" s="85"/>
      <c r="TAB37" s="85"/>
      <c r="TAC37" s="85"/>
      <c r="TAD37" s="85"/>
      <c r="TAE37" s="85"/>
      <c r="TAF37" s="85"/>
      <c r="TAG37" s="85"/>
      <c r="TAH37" s="85"/>
      <c r="TAI37" s="85"/>
      <c r="TAJ37" s="85"/>
      <c r="TAK37" s="85"/>
      <c r="TAL37" s="85"/>
      <c r="TAM37" s="85"/>
      <c r="TAN37" s="85"/>
      <c r="TAO37" s="85"/>
      <c r="TAP37" s="85"/>
      <c r="TAQ37" s="85"/>
      <c r="TAR37" s="85"/>
      <c r="TAS37" s="85"/>
      <c r="TAT37" s="85"/>
      <c r="TAU37" s="85"/>
      <c r="TAV37" s="85"/>
      <c r="TAW37" s="85"/>
      <c r="TAX37" s="85"/>
      <c r="TAY37" s="85"/>
      <c r="TAZ37" s="85"/>
      <c r="TBA37" s="85"/>
      <c r="TBB37" s="85"/>
      <c r="TBC37" s="85"/>
      <c r="TBD37" s="85"/>
      <c r="TBE37" s="85"/>
      <c r="TBF37" s="85"/>
      <c r="TBG37" s="85"/>
      <c r="TBH37" s="85"/>
      <c r="TBI37" s="85"/>
      <c r="TBJ37" s="85"/>
      <c r="TBK37" s="85"/>
      <c r="TBL37" s="85"/>
      <c r="TBM37" s="85"/>
      <c r="TBN37" s="85"/>
      <c r="TBO37" s="85"/>
      <c r="TBP37" s="85"/>
      <c r="TBQ37" s="85"/>
      <c r="TBR37" s="85"/>
      <c r="TBS37" s="85"/>
      <c r="TBT37" s="85"/>
      <c r="TBU37" s="85"/>
      <c r="TBV37" s="85"/>
      <c r="TBW37" s="85"/>
      <c r="TBX37" s="85"/>
      <c r="TBY37" s="85"/>
      <c r="TBZ37" s="85"/>
      <c r="TCA37" s="85"/>
      <c r="TCB37" s="85"/>
      <c r="TCC37" s="85"/>
      <c r="TCD37" s="85"/>
      <c r="TCE37" s="85"/>
      <c r="TCF37" s="85"/>
      <c r="TCG37" s="85"/>
      <c r="TCH37" s="85"/>
      <c r="TCI37" s="85"/>
      <c r="TCJ37" s="85"/>
      <c r="TCK37" s="85"/>
      <c r="TCL37" s="85"/>
      <c r="TCM37" s="85"/>
      <c r="TCN37" s="85"/>
      <c r="TCO37" s="85"/>
      <c r="TCP37" s="85"/>
      <c r="TCQ37" s="85"/>
      <c r="TCR37" s="85"/>
      <c r="TCS37" s="85"/>
      <c r="TCT37" s="85"/>
      <c r="TCU37" s="85"/>
      <c r="TCV37" s="85"/>
      <c r="TCW37" s="85"/>
      <c r="TCX37" s="85"/>
      <c r="TCY37" s="85"/>
      <c r="TCZ37" s="85"/>
      <c r="TDA37" s="85"/>
      <c r="TDB37" s="85"/>
      <c r="TDC37" s="85"/>
      <c r="TDD37" s="85"/>
      <c r="TDE37" s="85"/>
      <c r="TDF37" s="85"/>
      <c r="TDG37" s="85"/>
      <c r="TDH37" s="85"/>
      <c r="TDI37" s="85"/>
      <c r="TDJ37" s="85"/>
      <c r="TDK37" s="85"/>
      <c r="TDL37" s="85"/>
      <c r="TDM37" s="85"/>
      <c r="TDN37" s="85"/>
      <c r="TDO37" s="85"/>
      <c r="TDP37" s="85"/>
      <c r="TDQ37" s="85"/>
      <c r="TDR37" s="85"/>
      <c r="TDS37" s="85"/>
      <c r="TDT37" s="85"/>
      <c r="TDU37" s="85"/>
      <c r="TDV37" s="85"/>
      <c r="TDW37" s="85"/>
      <c r="TDX37" s="85"/>
      <c r="TDY37" s="85"/>
      <c r="TDZ37" s="85"/>
      <c r="TEA37" s="85"/>
      <c r="TEB37" s="85"/>
      <c r="TEC37" s="85"/>
      <c r="TED37" s="85"/>
      <c r="TEE37" s="85"/>
      <c r="TEF37" s="85"/>
      <c r="TEG37" s="85"/>
      <c r="TEH37" s="85"/>
      <c r="TEI37" s="85"/>
      <c r="TEJ37" s="85"/>
      <c r="TEK37" s="85"/>
      <c r="TEL37" s="85"/>
      <c r="TEM37" s="85"/>
      <c r="TEN37" s="85"/>
      <c r="TEO37" s="85"/>
      <c r="TEP37" s="85"/>
      <c r="TEQ37" s="85"/>
      <c r="TER37" s="85"/>
      <c r="TES37" s="85"/>
      <c r="TET37" s="85"/>
      <c r="TEU37" s="85"/>
      <c r="TEV37" s="85"/>
      <c r="TEW37" s="85"/>
      <c r="TEX37" s="85"/>
      <c r="TEY37" s="85"/>
      <c r="TEZ37" s="85"/>
      <c r="TFA37" s="85"/>
      <c r="TFB37" s="85"/>
      <c r="TFC37" s="85"/>
      <c r="TFD37" s="85"/>
      <c r="TFE37" s="85"/>
      <c r="TFF37" s="85"/>
      <c r="TFG37" s="85"/>
      <c r="TFH37" s="85"/>
      <c r="TFI37" s="85"/>
      <c r="TFJ37" s="85"/>
      <c r="TFK37" s="85"/>
      <c r="TFL37" s="85"/>
      <c r="TFM37" s="85"/>
      <c r="TFN37" s="85"/>
      <c r="TFO37" s="85"/>
      <c r="TFP37" s="85"/>
      <c r="TFQ37" s="85"/>
      <c r="TFR37" s="85"/>
      <c r="TFS37" s="85"/>
      <c r="TFT37" s="85"/>
      <c r="TFU37" s="85"/>
      <c r="TFV37" s="85"/>
      <c r="TFW37" s="85"/>
      <c r="TFX37" s="85"/>
      <c r="TFY37" s="85"/>
      <c r="TFZ37" s="85"/>
      <c r="TGA37" s="85"/>
      <c r="TGB37" s="85"/>
      <c r="TGC37" s="85"/>
      <c r="TGD37" s="85"/>
      <c r="TGE37" s="85"/>
      <c r="TGF37" s="85"/>
      <c r="TGG37" s="85"/>
      <c r="TGH37" s="85"/>
      <c r="TGI37" s="85"/>
      <c r="TGJ37" s="85"/>
      <c r="TGK37" s="85"/>
      <c r="TGL37" s="85"/>
      <c r="TGM37" s="85"/>
      <c r="TGN37" s="85"/>
      <c r="TGO37" s="85"/>
      <c r="TGP37" s="85"/>
      <c r="TGQ37" s="85"/>
      <c r="TGR37" s="85"/>
      <c r="TGS37" s="85"/>
      <c r="TGT37" s="85"/>
      <c r="TGU37" s="85"/>
      <c r="TGV37" s="85"/>
      <c r="TGW37" s="85"/>
      <c r="TGX37" s="85"/>
      <c r="TGY37" s="85"/>
      <c r="TGZ37" s="85"/>
      <c r="THA37" s="85"/>
      <c r="THB37" s="85"/>
      <c r="THC37" s="85"/>
      <c r="THD37" s="85"/>
      <c r="THE37" s="85"/>
      <c r="THF37" s="85"/>
      <c r="THG37" s="85"/>
      <c r="THH37" s="85"/>
      <c r="THI37" s="85"/>
      <c r="THJ37" s="85"/>
      <c r="THK37" s="85"/>
      <c r="THL37" s="85"/>
      <c r="THM37" s="85"/>
      <c r="THN37" s="85"/>
      <c r="THO37" s="85"/>
      <c r="THP37" s="85"/>
      <c r="THQ37" s="85"/>
      <c r="THR37" s="85"/>
      <c r="THS37" s="85"/>
      <c r="THT37" s="85"/>
      <c r="THU37" s="85"/>
      <c r="THV37" s="85"/>
      <c r="THW37" s="85"/>
      <c r="THX37" s="85"/>
      <c r="THY37" s="85"/>
      <c r="THZ37" s="85"/>
      <c r="TIA37" s="85"/>
      <c r="TIB37" s="85"/>
      <c r="TIC37" s="85"/>
      <c r="TID37" s="85"/>
      <c r="TIE37" s="85"/>
      <c r="TIF37" s="85"/>
      <c r="TIG37" s="85"/>
      <c r="TIH37" s="85"/>
      <c r="TII37" s="85"/>
      <c r="TIJ37" s="85"/>
      <c r="TIK37" s="85"/>
      <c r="TIL37" s="85"/>
      <c r="TIM37" s="85"/>
      <c r="TIN37" s="85"/>
      <c r="TIO37" s="85"/>
      <c r="TIP37" s="85"/>
      <c r="TIQ37" s="85"/>
      <c r="TIR37" s="85"/>
      <c r="TIS37" s="85"/>
      <c r="TIT37" s="85"/>
      <c r="TIU37" s="85"/>
      <c r="TIV37" s="85"/>
      <c r="TIW37" s="85"/>
      <c r="TIX37" s="85"/>
      <c r="TIY37" s="85"/>
      <c r="TIZ37" s="85"/>
      <c r="TJA37" s="85"/>
      <c r="TJB37" s="85"/>
      <c r="TJC37" s="85"/>
      <c r="TJD37" s="85"/>
      <c r="TJE37" s="85"/>
      <c r="TJF37" s="85"/>
      <c r="TJG37" s="85"/>
      <c r="TJH37" s="85"/>
      <c r="TJI37" s="85"/>
      <c r="TJJ37" s="85"/>
      <c r="TJK37" s="85"/>
      <c r="TJL37" s="85"/>
      <c r="TJM37" s="85"/>
      <c r="TJN37" s="85"/>
      <c r="TJO37" s="85"/>
      <c r="TJP37" s="85"/>
      <c r="TJQ37" s="85"/>
      <c r="TJR37" s="85"/>
      <c r="TJS37" s="85"/>
      <c r="TJT37" s="85"/>
      <c r="TJU37" s="85"/>
      <c r="TJV37" s="85"/>
      <c r="TJW37" s="85"/>
      <c r="TJX37" s="85"/>
      <c r="TJY37" s="85"/>
      <c r="TJZ37" s="85"/>
      <c r="TKA37" s="85"/>
      <c r="TKB37" s="85"/>
      <c r="TKC37" s="85"/>
      <c r="TKD37" s="85"/>
      <c r="TKE37" s="85"/>
      <c r="TKF37" s="85"/>
      <c r="TKG37" s="85"/>
      <c r="TKH37" s="85"/>
      <c r="TKI37" s="85"/>
      <c r="TKJ37" s="85"/>
      <c r="TKK37" s="85"/>
      <c r="TKL37" s="85"/>
      <c r="TKM37" s="85"/>
      <c r="TKN37" s="85"/>
      <c r="TKO37" s="85"/>
      <c r="TKP37" s="85"/>
      <c r="TKQ37" s="85"/>
      <c r="TKR37" s="85"/>
      <c r="TKS37" s="85"/>
      <c r="TKT37" s="85"/>
      <c r="TKU37" s="85"/>
      <c r="TKV37" s="85"/>
      <c r="TKW37" s="85"/>
      <c r="TKX37" s="85"/>
      <c r="TKY37" s="85"/>
      <c r="TKZ37" s="85"/>
      <c r="TLA37" s="85"/>
      <c r="TLB37" s="85"/>
      <c r="TLC37" s="85"/>
      <c r="TLD37" s="85"/>
      <c r="TLE37" s="85"/>
      <c r="TLF37" s="85"/>
      <c r="TLG37" s="85"/>
      <c r="TLH37" s="85"/>
      <c r="TLI37" s="85"/>
      <c r="TLJ37" s="85"/>
      <c r="TLK37" s="85"/>
      <c r="TLL37" s="85"/>
      <c r="TLM37" s="85"/>
      <c r="TLN37" s="85"/>
      <c r="TLO37" s="85"/>
      <c r="TLP37" s="85"/>
      <c r="TLQ37" s="85"/>
      <c r="TLR37" s="85"/>
      <c r="TLS37" s="85"/>
      <c r="TLT37" s="85"/>
      <c r="TLU37" s="85"/>
      <c r="TLV37" s="85"/>
      <c r="TLW37" s="85"/>
      <c r="TLX37" s="85"/>
      <c r="TLY37" s="85"/>
      <c r="TLZ37" s="85"/>
      <c r="TMA37" s="85"/>
      <c r="TMB37" s="85"/>
      <c r="TMC37" s="85"/>
      <c r="TMD37" s="85"/>
      <c r="TME37" s="85"/>
      <c r="TMF37" s="85"/>
      <c r="TMG37" s="85"/>
      <c r="TMH37" s="85"/>
      <c r="TMI37" s="85"/>
      <c r="TMJ37" s="85"/>
      <c r="TMK37" s="85"/>
      <c r="TML37" s="85"/>
      <c r="TMM37" s="85"/>
      <c r="TMN37" s="85"/>
      <c r="TMO37" s="85"/>
      <c r="TMP37" s="85"/>
      <c r="TMQ37" s="85"/>
      <c r="TMR37" s="85"/>
      <c r="TMS37" s="85"/>
      <c r="TMT37" s="85"/>
      <c r="TMU37" s="85"/>
      <c r="TMV37" s="85"/>
      <c r="TMW37" s="85"/>
      <c r="TMX37" s="85"/>
      <c r="TMY37" s="85"/>
      <c r="TMZ37" s="85"/>
      <c r="TNA37" s="85"/>
      <c r="TNB37" s="85"/>
      <c r="TNC37" s="85"/>
      <c r="TND37" s="85"/>
      <c r="TNE37" s="85"/>
      <c r="TNF37" s="85"/>
      <c r="TNG37" s="85"/>
      <c r="TNH37" s="85"/>
      <c r="TNI37" s="85"/>
      <c r="TNJ37" s="85"/>
      <c r="TNK37" s="85"/>
      <c r="TNL37" s="85"/>
      <c r="TNM37" s="85"/>
      <c r="TNN37" s="85"/>
      <c r="TNO37" s="85"/>
      <c r="TNP37" s="85"/>
      <c r="TNQ37" s="85"/>
      <c r="TNR37" s="85"/>
      <c r="TNS37" s="85"/>
      <c r="TNT37" s="85"/>
      <c r="TNU37" s="85"/>
      <c r="TNV37" s="85"/>
      <c r="TNW37" s="85"/>
      <c r="TNX37" s="85"/>
      <c r="TNY37" s="85"/>
      <c r="TNZ37" s="85"/>
      <c r="TOA37" s="85"/>
      <c r="TOB37" s="85"/>
      <c r="TOC37" s="85"/>
      <c r="TOD37" s="85"/>
      <c r="TOE37" s="85"/>
      <c r="TOF37" s="85"/>
      <c r="TOG37" s="85"/>
      <c r="TOH37" s="85"/>
      <c r="TOI37" s="85"/>
      <c r="TOJ37" s="85"/>
      <c r="TOK37" s="85"/>
      <c r="TOL37" s="85"/>
      <c r="TOM37" s="85"/>
      <c r="TON37" s="85"/>
      <c r="TOO37" s="85"/>
      <c r="TOP37" s="85"/>
      <c r="TOQ37" s="85"/>
      <c r="TOR37" s="85"/>
      <c r="TOS37" s="85"/>
      <c r="TOT37" s="85"/>
      <c r="TOU37" s="85"/>
      <c r="TOV37" s="85"/>
      <c r="TOW37" s="85"/>
      <c r="TOX37" s="85"/>
      <c r="TOY37" s="85"/>
      <c r="TOZ37" s="85"/>
      <c r="TPA37" s="85"/>
      <c r="TPB37" s="85"/>
      <c r="TPC37" s="85"/>
      <c r="TPD37" s="85"/>
      <c r="TPE37" s="85"/>
      <c r="TPF37" s="85"/>
      <c r="TPG37" s="85"/>
      <c r="TPH37" s="85"/>
      <c r="TPI37" s="85"/>
      <c r="TPJ37" s="85"/>
      <c r="TPK37" s="85"/>
      <c r="TPL37" s="85"/>
      <c r="TPM37" s="85"/>
      <c r="TPN37" s="85"/>
      <c r="TPO37" s="85"/>
      <c r="TPP37" s="85"/>
      <c r="TPQ37" s="85"/>
      <c r="TPR37" s="85"/>
      <c r="TPS37" s="85"/>
      <c r="TPT37" s="85"/>
      <c r="TPU37" s="85"/>
      <c r="TPV37" s="85"/>
      <c r="TPW37" s="85"/>
      <c r="TPX37" s="85"/>
      <c r="TPY37" s="85"/>
      <c r="TPZ37" s="85"/>
      <c r="TQA37" s="85"/>
      <c r="TQB37" s="85"/>
      <c r="TQC37" s="85"/>
      <c r="TQD37" s="85"/>
      <c r="TQE37" s="85"/>
      <c r="TQF37" s="85"/>
      <c r="TQG37" s="85"/>
      <c r="TQH37" s="85"/>
      <c r="TQI37" s="85"/>
      <c r="TQJ37" s="85"/>
      <c r="TQK37" s="85"/>
      <c r="TQL37" s="85"/>
      <c r="TQM37" s="85"/>
      <c r="TQN37" s="85"/>
      <c r="TQO37" s="85"/>
      <c r="TQP37" s="85"/>
      <c r="TQQ37" s="85"/>
      <c r="TQR37" s="85"/>
      <c r="TQS37" s="85"/>
      <c r="TQT37" s="85"/>
      <c r="TQU37" s="85"/>
      <c r="TQV37" s="85"/>
      <c r="TQW37" s="85"/>
      <c r="TQX37" s="85"/>
      <c r="TQY37" s="85"/>
      <c r="TQZ37" s="85"/>
      <c r="TRA37" s="85"/>
      <c r="TRB37" s="85"/>
      <c r="TRC37" s="85"/>
      <c r="TRD37" s="85"/>
      <c r="TRE37" s="85"/>
      <c r="TRF37" s="85"/>
      <c r="TRG37" s="85"/>
      <c r="TRH37" s="85"/>
      <c r="TRI37" s="85"/>
      <c r="TRJ37" s="85"/>
      <c r="TRK37" s="85"/>
      <c r="TRL37" s="85"/>
      <c r="TRM37" s="85"/>
      <c r="TRN37" s="85"/>
      <c r="TRO37" s="85"/>
      <c r="TRP37" s="85"/>
      <c r="TRQ37" s="85"/>
      <c r="TRR37" s="85"/>
      <c r="TRS37" s="85"/>
      <c r="TRT37" s="85"/>
      <c r="TRU37" s="85"/>
      <c r="TRV37" s="85"/>
      <c r="TRW37" s="85"/>
      <c r="TRX37" s="85"/>
      <c r="TRY37" s="85"/>
      <c r="TRZ37" s="85"/>
      <c r="TSA37" s="85"/>
      <c r="TSB37" s="85"/>
      <c r="TSC37" s="85"/>
      <c r="TSD37" s="85"/>
      <c r="TSE37" s="85"/>
      <c r="TSF37" s="85"/>
      <c r="TSG37" s="85"/>
      <c r="TSH37" s="85"/>
      <c r="TSI37" s="85"/>
      <c r="TSJ37" s="85"/>
      <c r="TSK37" s="85"/>
      <c r="TSL37" s="85"/>
      <c r="TSM37" s="85"/>
      <c r="TSN37" s="85"/>
      <c r="TSO37" s="85"/>
      <c r="TSP37" s="85"/>
      <c r="TSQ37" s="85"/>
      <c r="TSR37" s="85"/>
      <c r="TSS37" s="85"/>
      <c r="TST37" s="85"/>
      <c r="TSU37" s="85"/>
      <c r="TSV37" s="85"/>
      <c r="TSW37" s="85"/>
      <c r="TSX37" s="85"/>
      <c r="TSY37" s="85"/>
      <c r="TSZ37" s="85"/>
      <c r="TTA37" s="85"/>
      <c r="TTB37" s="85"/>
      <c r="TTC37" s="85"/>
      <c r="TTD37" s="85"/>
      <c r="TTE37" s="85"/>
      <c r="TTF37" s="85"/>
      <c r="TTG37" s="85"/>
      <c r="TTH37" s="85"/>
      <c r="TTI37" s="85"/>
      <c r="TTJ37" s="85"/>
      <c r="TTK37" s="85"/>
      <c r="TTL37" s="85"/>
      <c r="TTM37" s="85"/>
      <c r="TTN37" s="85"/>
      <c r="TTO37" s="85"/>
      <c r="TTP37" s="85"/>
      <c r="TTQ37" s="85"/>
      <c r="TTR37" s="85"/>
      <c r="TTS37" s="85"/>
      <c r="TTT37" s="85"/>
      <c r="TTU37" s="85"/>
      <c r="TTV37" s="85"/>
      <c r="TTW37" s="85"/>
      <c r="TTX37" s="85"/>
      <c r="TTY37" s="85"/>
      <c r="TTZ37" s="85"/>
      <c r="TUA37" s="85"/>
      <c r="TUB37" s="85"/>
      <c r="TUC37" s="85"/>
      <c r="TUD37" s="85"/>
      <c r="TUE37" s="85"/>
      <c r="TUF37" s="85"/>
      <c r="TUG37" s="85"/>
      <c r="TUH37" s="85"/>
      <c r="TUI37" s="85"/>
      <c r="TUJ37" s="85"/>
      <c r="TUK37" s="85"/>
      <c r="TUL37" s="85"/>
      <c r="TUM37" s="85"/>
      <c r="TUN37" s="85"/>
      <c r="TUO37" s="85"/>
      <c r="TUP37" s="85"/>
      <c r="TUQ37" s="85"/>
      <c r="TUR37" s="85"/>
      <c r="TUS37" s="85"/>
      <c r="TUT37" s="85"/>
      <c r="TUU37" s="85"/>
      <c r="TUV37" s="85"/>
      <c r="TUW37" s="85"/>
      <c r="TUX37" s="85"/>
      <c r="TUY37" s="85"/>
      <c r="TUZ37" s="85"/>
      <c r="TVA37" s="85"/>
      <c r="TVB37" s="85"/>
      <c r="TVC37" s="85"/>
      <c r="TVD37" s="85"/>
      <c r="TVE37" s="85"/>
      <c r="TVF37" s="85"/>
      <c r="TVG37" s="85"/>
      <c r="TVH37" s="85"/>
      <c r="TVI37" s="85"/>
      <c r="TVJ37" s="85"/>
      <c r="TVK37" s="85"/>
      <c r="TVL37" s="85"/>
      <c r="TVM37" s="85"/>
      <c r="TVN37" s="85"/>
      <c r="TVO37" s="85"/>
      <c r="TVP37" s="85"/>
      <c r="TVQ37" s="85"/>
      <c r="TVR37" s="85"/>
      <c r="TVS37" s="85"/>
      <c r="TVT37" s="85"/>
      <c r="TVU37" s="85"/>
      <c r="TVV37" s="85"/>
      <c r="TVW37" s="85"/>
      <c r="TVX37" s="85"/>
      <c r="TVY37" s="85"/>
      <c r="TVZ37" s="85"/>
      <c r="TWA37" s="85"/>
      <c r="TWB37" s="85"/>
      <c r="TWC37" s="85"/>
      <c r="TWD37" s="85"/>
      <c r="TWE37" s="85"/>
      <c r="TWF37" s="85"/>
      <c r="TWG37" s="85"/>
      <c r="TWH37" s="85"/>
      <c r="TWI37" s="85"/>
      <c r="TWJ37" s="85"/>
      <c r="TWK37" s="85"/>
      <c r="TWL37" s="85"/>
      <c r="TWM37" s="85"/>
      <c r="TWN37" s="85"/>
      <c r="TWO37" s="85"/>
      <c r="TWP37" s="85"/>
      <c r="TWQ37" s="85"/>
      <c r="TWR37" s="85"/>
      <c r="TWS37" s="85"/>
      <c r="TWT37" s="85"/>
      <c r="TWU37" s="85"/>
      <c r="TWV37" s="85"/>
      <c r="TWW37" s="85"/>
      <c r="TWX37" s="85"/>
      <c r="TWY37" s="85"/>
      <c r="TWZ37" s="85"/>
      <c r="TXA37" s="85"/>
      <c r="TXB37" s="85"/>
      <c r="TXC37" s="85"/>
      <c r="TXD37" s="85"/>
      <c r="TXE37" s="85"/>
      <c r="TXF37" s="85"/>
      <c r="TXG37" s="85"/>
      <c r="TXH37" s="85"/>
      <c r="TXI37" s="85"/>
      <c r="TXJ37" s="85"/>
      <c r="TXK37" s="85"/>
      <c r="TXL37" s="85"/>
      <c r="TXM37" s="85"/>
      <c r="TXN37" s="85"/>
      <c r="TXO37" s="85"/>
      <c r="TXP37" s="85"/>
      <c r="TXQ37" s="85"/>
      <c r="TXR37" s="85"/>
      <c r="TXS37" s="85"/>
      <c r="TXT37" s="85"/>
      <c r="TXU37" s="85"/>
      <c r="TXV37" s="85"/>
      <c r="TXW37" s="85"/>
      <c r="TXX37" s="85"/>
      <c r="TXY37" s="85"/>
      <c r="TXZ37" s="85"/>
      <c r="TYA37" s="85"/>
      <c r="TYB37" s="85"/>
      <c r="TYC37" s="85"/>
      <c r="TYD37" s="85"/>
      <c r="TYE37" s="85"/>
      <c r="TYF37" s="85"/>
      <c r="TYG37" s="85"/>
      <c r="TYH37" s="85"/>
      <c r="TYI37" s="85"/>
      <c r="TYJ37" s="85"/>
      <c r="TYK37" s="85"/>
      <c r="TYL37" s="85"/>
      <c r="TYM37" s="85"/>
      <c r="TYN37" s="85"/>
      <c r="TYO37" s="85"/>
      <c r="TYP37" s="85"/>
      <c r="TYQ37" s="85"/>
      <c r="TYR37" s="85"/>
      <c r="TYS37" s="85"/>
      <c r="TYT37" s="85"/>
      <c r="TYU37" s="85"/>
      <c r="TYV37" s="85"/>
      <c r="TYW37" s="85"/>
      <c r="TYX37" s="85"/>
      <c r="TYY37" s="85"/>
      <c r="TYZ37" s="85"/>
      <c r="TZA37" s="85"/>
      <c r="TZB37" s="85"/>
      <c r="TZC37" s="85"/>
      <c r="TZD37" s="85"/>
      <c r="TZE37" s="85"/>
      <c r="TZF37" s="85"/>
      <c r="TZG37" s="85"/>
      <c r="TZH37" s="85"/>
      <c r="TZI37" s="85"/>
      <c r="TZJ37" s="85"/>
      <c r="TZK37" s="85"/>
      <c r="TZL37" s="85"/>
      <c r="TZM37" s="85"/>
      <c r="TZN37" s="85"/>
      <c r="TZO37" s="85"/>
      <c r="TZP37" s="85"/>
      <c r="TZQ37" s="85"/>
      <c r="TZR37" s="85"/>
      <c r="TZS37" s="85"/>
      <c r="TZT37" s="85"/>
      <c r="TZU37" s="85"/>
      <c r="TZV37" s="85"/>
      <c r="TZW37" s="85"/>
      <c r="TZX37" s="85"/>
      <c r="TZY37" s="85"/>
      <c r="TZZ37" s="85"/>
      <c r="UAA37" s="85"/>
      <c r="UAB37" s="85"/>
      <c r="UAC37" s="85"/>
      <c r="UAD37" s="85"/>
      <c r="UAE37" s="85"/>
      <c r="UAF37" s="85"/>
      <c r="UAG37" s="85"/>
      <c r="UAH37" s="85"/>
      <c r="UAI37" s="85"/>
      <c r="UAJ37" s="85"/>
      <c r="UAK37" s="85"/>
      <c r="UAL37" s="85"/>
      <c r="UAM37" s="85"/>
      <c r="UAN37" s="85"/>
      <c r="UAO37" s="85"/>
      <c r="UAP37" s="85"/>
      <c r="UAQ37" s="85"/>
      <c r="UAR37" s="85"/>
      <c r="UAS37" s="85"/>
      <c r="UAT37" s="85"/>
      <c r="UAU37" s="85"/>
      <c r="UAV37" s="85"/>
      <c r="UAW37" s="85"/>
      <c r="UAX37" s="85"/>
      <c r="UAY37" s="85"/>
      <c r="UAZ37" s="85"/>
      <c r="UBA37" s="85"/>
      <c r="UBB37" s="85"/>
      <c r="UBC37" s="85"/>
      <c r="UBD37" s="85"/>
      <c r="UBE37" s="85"/>
      <c r="UBF37" s="85"/>
      <c r="UBG37" s="85"/>
      <c r="UBH37" s="85"/>
      <c r="UBI37" s="85"/>
      <c r="UBJ37" s="85"/>
      <c r="UBK37" s="85"/>
      <c r="UBL37" s="85"/>
      <c r="UBM37" s="85"/>
      <c r="UBN37" s="85"/>
      <c r="UBO37" s="85"/>
      <c r="UBP37" s="85"/>
      <c r="UBQ37" s="85"/>
      <c r="UBR37" s="85"/>
      <c r="UBS37" s="85"/>
      <c r="UBT37" s="85"/>
      <c r="UBU37" s="85"/>
      <c r="UBV37" s="85"/>
      <c r="UBW37" s="85"/>
      <c r="UBX37" s="85"/>
      <c r="UBY37" s="85"/>
      <c r="UBZ37" s="85"/>
      <c r="UCA37" s="85"/>
      <c r="UCB37" s="85"/>
      <c r="UCC37" s="85"/>
      <c r="UCD37" s="85"/>
      <c r="UCE37" s="85"/>
      <c r="UCF37" s="85"/>
      <c r="UCG37" s="85"/>
      <c r="UCH37" s="85"/>
      <c r="UCI37" s="85"/>
      <c r="UCJ37" s="85"/>
      <c r="UCK37" s="85"/>
      <c r="UCL37" s="85"/>
      <c r="UCM37" s="85"/>
      <c r="UCN37" s="85"/>
      <c r="UCO37" s="85"/>
      <c r="UCP37" s="85"/>
      <c r="UCQ37" s="85"/>
      <c r="UCR37" s="85"/>
      <c r="UCS37" s="85"/>
      <c r="UCT37" s="85"/>
      <c r="UCU37" s="85"/>
      <c r="UCV37" s="85"/>
      <c r="UCW37" s="85"/>
      <c r="UCX37" s="85"/>
      <c r="UCY37" s="85"/>
      <c r="UCZ37" s="85"/>
      <c r="UDA37" s="85"/>
      <c r="UDB37" s="85"/>
      <c r="UDC37" s="85"/>
      <c r="UDD37" s="85"/>
      <c r="UDE37" s="85"/>
      <c r="UDF37" s="85"/>
      <c r="UDG37" s="85"/>
      <c r="UDH37" s="85"/>
      <c r="UDI37" s="85"/>
      <c r="UDJ37" s="85"/>
      <c r="UDK37" s="85"/>
      <c r="UDL37" s="85"/>
      <c r="UDM37" s="85"/>
      <c r="UDN37" s="85"/>
      <c r="UDO37" s="85"/>
      <c r="UDP37" s="85"/>
      <c r="UDQ37" s="85"/>
      <c r="UDR37" s="85"/>
      <c r="UDS37" s="85"/>
      <c r="UDT37" s="85"/>
      <c r="UDU37" s="85"/>
      <c r="UDV37" s="85"/>
      <c r="UDW37" s="85"/>
      <c r="UDX37" s="85"/>
      <c r="UDY37" s="85"/>
      <c r="UDZ37" s="85"/>
      <c r="UEA37" s="85"/>
      <c r="UEB37" s="85"/>
      <c r="UEC37" s="85"/>
      <c r="UED37" s="85"/>
      <c r="UEE37" s="85"/>
      <c r="UEF37" s="85"/>
      <c r="UEG37" s="85"/>
      <c r="UEH37" s="85"/>
      <c r="UEI37" s="85"/>
      <c r="UEJ37" s="85"/>
      <c r="UEK37" s="85"/>
      <c r="UEL37" s="85"/>
      <c r="UEM37" s="85"/>
      <c r="UEN37" s="85"/>
      <c r="UEO37" s="85"/>
      <c r="UEP37" s="85"/>
      <c r="UEQ37" s="85"/>
      <c r="UER37" s="85"/>
      <c r="UES37" s="85"/>
      <c r="UET37" s="85"/>
      <c r="UEU37" s="85"/>
      <c r="UEV37" s="85"/>
      <c r="UEW37" s="85"/>
      <c r="UEX37" s="85"/>
      <c r="UEY37" s="85"/>
      <c r="UEZ37" s="85"/>
      <c r="UFA37" s="85"/>
      <c r="UFB37" s="85"/>
      <c r="UFC37" s="85"/>
      <c r="UFD37" s="85"/>
      <c r="UFE37" s="85"/>
      <c r="UFF37" s="85"/>
      <c r="UFG37" s="85"/>
      <c r="UFH37" s="85"/>
      <c r="UFI37" s="85"/>
      <c r="UFJ37" s="85"/>
      <c r="UFK37" s="85"/>
      <c r="UFL37" s="85"/>
      <c r="UFM37" s="85"/>
      <c r="UFN37" s="85"/>
      <c r="UFO37" s="85"/>
      <c r="UFP37" s="85"/>
      <c r="UFQ37" s="85"/>
      <c r="UFR37" s="85"/>
      <c r="UFS37" s="85"/>
      <c r="UFT37" s="85"/>
      <c r="UFU37" s="85"/>
      <c r="UFV37" s="85"/>
      <c r="UFW37" s="85"/>
      <c r="UFX37" s="85"/>
      <c r="UFY37" s="85"/>
      <c r="UFZ37" s="85"/>
      <c r="UGA37" s="85"/>
      <c r="UGB37" s="85"/>
      <c r="UGC37" s="85"/>
      <c r="UGD37" s="85"/>
      <c r="UGE37" s="85"/>
      <c r="UGF37" s="85"/>
      <c r="UGG37" s="85"/>
      <c r="UGH37" s="85"/>
      <c r="UGI37" s="85"/>
      <c r="UGJ37" s="85"/>
      <c r="UGK37" s="85"/>
      <c r="UGL37" s="85"/>
      <c r="UGM37" s="85"/>
      <c r="UGN37" s="85"/>
      <c r="UGO37" s="85"/>
      <c r="UGP37" s="85"/>
      <c r="UGQ37" s="85"/>
      <c r="UGR37" s="85"/>
      <c r="UGS37" s="85"/>
      <c r="UGT37" s="85"/>
      <c r="UGU37" s="85"/>
      <c r="UGV37" s="85"/>
      <c r="UGW37" s="85"/>
      <c r="UGX37" s="85"/>
      <c r="UGY37" s="85"/>
      <c r="UGZ37" s="85"/>
      <c r="UHA37" s="85"/>
      <c r="UHB37" s="85"/>
      <c r="UHC37" s="85"/>
      <c r="UHD37" s="85"/>
      <c r="UHE37" s="85"/>
      <c r="UHF37" s="85"/>
      <c r="UHG37" s="85"/>
      <c r="UHH37" s="85"/>
      <c r="UHI37" s="85"/>
      <c r="UHJ37" s="85"/>
      <c r="UHK37" s="85"/>
      <c r="UHL37" s="85"/>
      <c r="UHM37" s="85"/>
      <c r="UHN37" s="85"/>
      <c r="UHO37" s="85"/>
      <c r="UHP37" s="85"/>
      <c r="UHQ37" s="85"/>
      <c r="UHR37" s="85"/>
      <c r="UHS37" s="85"/>
      <c r="UHT37" s="85"/>
      <c r="UHU37" s="85"/>
      <c r="UHV37" s="85"/>
      <c r="UHW37" s="85"/>
      <c r="UHX37" s="85"/>
      <c r="UHY37" s="85"/>
      <c r="UHZ37" s="85"/>
      <c r="UIA37" s="85"/>
      <c r="UIB37" s="85"/>
      <c r="UIC37" s="85"/>
      <c r="UID37" s="85"/>
      <c r="UIE37" s="85"/>
      <c r="UIF37" s="85"/>
      <c r="UIG37" s="85"/>
      <c r="UIH37" s="85"/>
      <c r="UII37" s="85"/>
      <c r="UIJ37" s="85"/>
      <c r="UIK37" s="85"/>
      <c r="UIL37" s="85"/>
      <c r="UIM37" s="85"/>
      <c r="UIN37" s="85"/>
      <c r="UIO37" s="85"/>
      <c r="UIP37" s="85"/>
      <c r="UIQ37" s="85"/>
      <c r="UIR37" s="85"/>
      <c r="UIS37" s="85"/>
      <c r="UIT37" s="85"/>
      <c r="UIU37" s="85"/>
      <c r="UIV37" s="85"/>
      <c r="UIW37" s="85"/>
      <c r="UIX37" s="85"/>
      <c r="UIY37" s="85"/>
      <c r="UIZ37" s="85"/>
      <c r="UJA37" s="85"/>
      <c r="UJB37" s="85"/>
      <c r="UJC37" s="85"/>
      <c r="UJD37" s="85"/>
      <c r="UJE37" s="85"/>
      <c r="UJF37" s="85"/>
      <c r="UJG37" s="85"/>
      <c r="UJH37" s="85"/>
      <c r="UJI37" s="85"/>
      <c r="UJJ37" s="85"/>
      <c r="UJK37" s="85"/>
      <c r="UJL37" s="85"/>
      <c r="UJM37" s="85"/>
      <c r="UJN37" s="85"/>
      <c r="UJO37" s="85"/>
      <c r="UJP37" s="85"/>
      <c r="UJQ37" s="85"/>
      <c r="UJR37" s="85"/>
      <c r="UJS37" s="85"/>
      <c r="UJT37" s="85"/>
      <c r="UJU37" s="85"/>
      <c r="UJV37" s="85"/>
      <c r="UJW37" s="85"/>
      <c r="UJX37" s="85"/>
      <c r="UJY37" s="85"/>
      <c r="UJZ37" s="85"/>
      <c r="UKA37" s="85"/>
      <c r="UKB37" s="85"/>
      <c r="UKC37" s="85"/>
      <c r="UKD37" s="85"/>
      <c r="UKE37" s="85"/>
      <c r="UKF37" s="85"/>
      <c r="UKG37" s="85"/>
      <c r="UKH37" s="85"/>
      <c r="UKI37" s="85"/>
      <c r="UKJ37" s="85"/>
      <c r="UKK37" s="85"/>
      <c r="UKL37" s="85"/>
      <c r="UKM37" s="85"/>
      <c r="UKN37" s="85"/>
      <c r="UKO37" s="85"/>
      <c r="UKP37" s="85"/>
      <c r="UKQ37" s="85"/>
      <c r="UKR37" s="85"/>
      <c r="UKS37" s="85"/>
      <c r="UKT37" s="85"/>
      <c r="UKU37" s="85"/>
      <c r="UKV37" s="85"/>
      <c r="UKW37" s="85"/>
      <c r="UKX37" s="85"/>
      <c r="UKY37" s="85"/>
      <c r="UKZ37" s="85"/>
      <c r="ULA37" s="85"/>
      <c r="ULB37" s="85"/>
      <c r="ULC37" s="85"/>
      <c r="ULD37" s="85"/>
      <c r="ULE37" s="85"/>
      <c r="ULF37" s="85"/>
      <c r="ULG37" s="85"/>
      <c r="ULH37" s="85"/>
      <c r="ULI37" s="85"/>
      <c r="ULJ37" s="85"/>
      <c r="ULK37" s="85"/>
      <c r="ULL37" s="85"/>
      <c r="ULM37" s="85"/>
      <c r="ULN37" s="85"/>
      <c r="ULO37" s="85"/>
      <c r="ULP37" s="85"/>
      <c r="ULQ37" s="85"/>
      <c r="ULR37" s="85"/>
      <c r="ULS37" s="85"/>
      <c r="ULT37" s="85"/>
      <c r="ULU37" s="85"/>
      <c r="ULV37" s="85"/>
      <c r="ULW37" s="85"/>
      <c r="ULX37" s="85"/>
      <c r="ULY37" s="85"/>
      <c r="ULZ37" s="85"/>
      <c r="UMA37" s="85"/>
      <c r="UMB37" s="85"/>
      <c r="UMC37" s="85"/>
      <c r="UMD37" s="85"/>
      <c r="UME37" s="85"/>
      <c r="UMF37" s="85"/>
      <c r="UMG37" s="85"/>
      <c r="UMH37" s="85"/>
      <c r="UMI37" s="85"/>
      <c r="UMJ37" s="85"/>
      <c r="UMK37" s="85"/>
      <c r="UML37" s="85"/>
      <c r="UMM37" s="85"/>
      <c r="UMN37" s="85"/>
      <c r="UMO37" s="85"/>
      <c r="UMP37" s="85"/>
      <c r="UMQ37" s="85"/>
      <c r="UMR37" s="85"/>
      <c r="UMS37" s="85"/>
      <c r="UMT37" s="85"/>
      <c r="UMU37" s="85"/>
      <c r="UMV37" s="85"/>
      <c r="UMW37" s="85"/>
      <c r="UMX37" s="85"/>
      <c r="UMY37" s="85"/>
      <c r="UMZ37" s="85"/>
      <c r="UNA37" s="85"/>
      <c r="UNB37" s="85"/>
      <c r="UNC37" s="85"/>
      <c r="UND37" s="85"/>
      <c r="UNE37" s="85"/>
      <c r="UNF37" s="85"/>
      <c r="UNG37" s="85"/>
      <c r="UNH37" s="85"/>
      <c r="UNI37" s="85"/>
      <c r="UNJ37" s="85"/>
      <c r="UNK37" s="85"/>
      <c r="UNL37" s="85"/>
      <c r="UNM37" s="85"/>
      <c r="UNN37" s="85"/>
      <c r="UNO37" s="85"/>
      <c r="UNP37" s="85"/>
      <c r="UNQ37" s="85"/>
      <c r="UNR37" s="85"/>
      <c r="UNS37" s="85"/>
      <c r="UNT37" s="85"/>
      <c r="UNU37" s="85"/>
      <c r="UNV37" s="85"/>
      <c r="UNW37" s="85"/>
      <c r="UNX37" s="85"/>
      <c r="UNY37" s="85"/>
      <c r="UNZ37" s="85"/>
      <c r="UOA37" s="85"/>
      <c r="UOB37" s="85"/>
      <c r="UOC37" s="85"/>
      <c r="UOD37" s="85"/>
      <c r="UOE37" s="85"/>
      <c r="UOF37" s="85"/>
      <c r="UOG37" s="85"/>
      <c r="UOH37" s="85"/>
      <c r="UOI37" s="85"/>
      <c r="UOJ37" s="85"/>
      <c r="UOK37" s="85"/>
      <c r="UOL37" s="85"/>
      <c r="UOM37" s="85"/>
      <c r="UON37" s="85"/>
      <c r="UOO37" s="85"/>
      <c r="UOP37" s="85"/>
      <c r="UOQ37" s="85"/>
      <c r="UOR37" s="85"/>
      <c r="UOS37" s="85"/>
      <c r="UOT37" s="85"/>
      <c r="UOU37" s="85"/>
      <c r="UOV37" s="85"/>
      <c r="UOW37" s="85"/>
      <c r="UOX37" s="85"/>
      <c r="UOY37" s="85"/>
      <c r="UOZ37" s="85"/>
      <c r="UPA37" s="85"/>
      <c r="UPB37" s="85"/>
      <c r="UPC37" s="85"/>
      <c r="UPD37" s="85"/>
      <c r="UPE37" s="85"/>
      <c r="UPF37" s="85"/>
      <c r="UPG37" s="85"/>
      <c r="UPH37" s="85"/>
      <c r="UPI37" s="85"/>
      <c r="UPJ37" s="85"/>
      <c r="UPK37" s="85"/>
      <c r="UPL37" s="85"/>
      <c r="UPM37" s="85"/>
      <c r="UPN37" s="85"/>
      <c r="UPO37" s="85"/>
      <c r="UPP37" s="85"/>
      <c r="UPQ37" s="85"/>
      <c r="UPR37" s="85"/>
      <c r="UPS37" s="85"/>
      <c r="UPT37" s="85"/>
      <c r="UPU37" s="85"/>
      <c r="UPV37" s="85"/>
      <c r="UPW37" s="85"/>
      <c r="UPX37" s="85"/>
      <c r="UPY37" s="85"/>
      <c r="UPZ37" s="85"/>
      <c r="UQA37" s="85"/>
      <c r="UQB37" s="85"/>
      <c r="UQC37" s="85"/>
      <c r="UQD37" s="85"/>
      <c r="UQE37" s="85"/>
      <c r="UQF37" s="85"/>
      <c r="UQG37" s="85"/>
      <c r="UQH37" s="85"/>
      <c r="UQI37" s="85"/>
      <c r="UQJ37" s="85"/>
      <c r="UQK37" s="85"/>
      <c r="UQL37" s="85"/>
      <c r="UQM37" s="85"/>
      <c r="UQN37" s="85"/>
      <c r="UQO37" s="85"/>
      <c r="UQP37" s="85"/>
      <c r="UQQ37" s="85"/>
      <c r="UQR37" s="85"/>
      <c r="UQS37" s="85"/>
      <c r="UQT37" s="85"/>
      <c r="UQU37" s="85"/>
      <c r="UQV37" s="85"/>
      <c r="UQW37" s="85"/>
      <c r="UQX37" s="85"/>
      <c r="UQY37" s="85"/>
      <c r="UQZ37" s="85"/>
      <c r="URA37" s="85"/>
      <c r="URB37" s="85"/>
      <c r="URC37" s="85"/>
      <c r="URD37" s="85"/>
      <c r="URE37" s="85"/>
      <c r="URF37" s="85"/>
      <c r="URG37" s="85"/>
      <c r="URH37" s="85"/>
      <c r="URI37" s="85"/>
      <c r="URJ37" s="85"/>
      <c r="URK37" s="85"/>
      <c r="URL37" s="85"/>
      <c r="URM37" s="85"/>
      <c r="URN37" s="85"/>
      <c r="URO37" s="85"/>
      <c r="URP37" s="85"/>
      <c r="URQ37" s="85"/>
      <c r="URR37" s="85"/>
      <c r="URS37" s="85"/>
      <c r="URT37" s="85"/>
      <c r="URU37" s="85"/>
      <c r="URV37" s="85"/>
      <c r="URW37" s="85"/>
      <c r="URX37" s="85"/>
      <c r="URY37" s="85"/>
      <c r="URZ37" s="85"/>
      <c r="USA37" s="85"/>
      <c r="USB37" s="85"/>
      <c r="USC37" s="85"/>
      <c r="USD37" s="85"/>
      <c r="USE37" s="85"/>
      <c r="USF37" s="85"/>
      <c r="USG37" s="85"/>
      <c r="USH37" s="85"/>
      <c r="USI37" s="85"/>
      <c r="USJ37" s="85"/>
      <c r="USK37" s="85"/>
      <c r="USL37" s="85"/>
      <c r="USM37" s="85"/>
      <c r="USN37" s="85"/>
      <c r="USO37" s="85"/>
      <c r="USP37" s="85"/>
      <c r="USQ37" s="85"/>
      <c r="USR37" s="85"/>
      <c r="USS37" s="85"/>
      <c r="UST37" s="85"/>
      <c r="USU37" s="85"/>
      <c r="USV37" s="85"/>
      <c r="USW37" s="85"/>
      <c r="USX37" s="85"/>
      <c r="USY37" s="85"/>
      <c r="USZ37" s="85"/>
      <c r="UTA37" s="85"/>
      <c r="UTB37" s="85"/>
      <c r="UTC37" s="85"/>
      <c r="UTD37" s="85"/>
      <c r="UTE37" s="85"/>
      <c r="UTF37" s="85"/>
      <c r="UTG37" s="85"/>
      <c r="UTH37" s="85"/>
      <c r="UTI37" s="85"/>
      <c r="UTJ37" s="85"/>
      <c r="UTK37" s="85"/>
      <c r="UTL37" s="85"/>
      <c r="UTM37" s="85"/>
      <c r="UTN37" s="85"/>
      <c r="UTO37" s="85"/>
      <c r="UTP37" s="85"/>
      <c r="UTQ37" s="85"/>
      <c r="UTR37" s="85"/>
      <c r="UTS37" s="85"/>
      <c r="UTT37" s="85"/>
      <c r="UTU37" s="85"/>
      <c r="UTV37" s="85"/>
      <c r="UTW37" s="85"/>
      <c r="UTX37" s="85"/>
      <c r="UTY37" s="85"/>
      <c r="UTZ37" s="85"/>
      <c r="UUA37" s="85"/>
      <c r="UUB37" s="85"/>
      <c r="UUC37" s="85"/>
      <c r="UUD37" s="85"/>
      <c r="UUE37" s="85"/>
      <c r="UUF37" s="85"/>
      <c r="UUG37" s="85"/>
      <c r="UUH37" s="85"/>
      <c r="UUI37" s="85"/>
      <c r="UUJ37" s="85"/>
      <c r="UUK37" s="85"/>
      <c r="UUL37" s="85"/>
      <c r="UUM37" s="85"/>
      <c r="UUN37" s="85"/>
      <c r="UUO37" s="85"/>
      <c r="UUP37" s="85"/>
      <c r="UUQ37" s="85"/>
      <c r="UUR37" s="85"/>
      <c r="UUS37" s="85"/>
      <c r="UUT37" s="85"/>
      <c r="UUU37" s="85"/>
      <c r="UUV37" s="85"/>
      <c r="UUW37" s="85"/>
      <c r="UUX37" s="85"/>
      <c r="UUY37" s="85"/>
      <c r="UUZ37" s="85"/>
      <c r="UVA37" s="85"/>
      <c r="UVB37" s="85"/>
      <c r="UVC37" s="85"/>
      <c r="UVD37" s="85"/>
      <c r="UVE37" s="85"/>
      <c r="UVF37" s="85"/>
      <c r="UVG37" s="85"/>
      <c r="UVH37" s="85"/>
      <c r="UVI37" s="85"/>
      <c r="UVJ37" s="85"/>
      <c r="UVK37" s="85"/>
      <c r="UVL37" s="85"/>
      <c r="UVM37" s="85"/>
      <c r="UVN37" s="85"/>
      <c r="UVO37" s="85"/>
      <c r="UVP37" s="85"/>
      <c r="UVQ37" s="85"/>
      <c r="UVR37" s="85"/>
      <c r="UVS37" s="85"/>
      <c r="UVT37" s="85"/>
      <c r="UVU37" s="85"/>
      <c r="UVV37" s="85"/>
      <c r="UVW37" s="85"/>
      <c r="UVX37" s="85"/>
      <c r="UVY37" s="85"/>
      <c r="UVZ37" s="85"/>
      <c r="UWA37" s="85"/>
      <c r="UWB37" s="85"/>
      <c r="UWC37" s="85"/>
      <c r="UWD37" s="85"/>
      <c r="UWE37" s="85"/>
      <c r="UWF37" s="85"/>
      <c r="UWG37" s="85"/>
      <c r="UWH37" s="85"/>
      <c r="UWI37" s="85"/>
      <c r="UWJ37" s="85"/>
      <c r="UWK37" s="85"/>
      <c r="UWL37" s="85"/>
      <c r="UWM37" s="85"/>
      <c r="UWN37" s="85"/>
      <c r="UWO37" s="85"/>
      <c r="UWP37" s="85"/>
      <c r="UWQ37" s="85"/>
      <c r="UWR37" s="85"/>
      <c r="UWS37" s="85"/>
      <c r="UWT37" s="85"/>
      <c r="UWU37" s="85"/>
      <c r="UWV37" s="85"/>
      <c r="UWW37" s="85"/>
      <c r="UWX37" s="85"/>
      <c r="UWY37" s="85"/>
      <c r="UWZ37" s="85"/>
      <c r="UXA37" s="85"/>
      <c r="UXB37" s="85"/>
      <c r="UXC37" s="85"/>
      <c r="UXD37" s="85"/>
      <c r="UXE37" s="85"/>
      <c r="UXF37" s="85"/>
      <c r="UXG37" s="85"/>
      <c r="UXH37" s="85"/>
      <c r="UXI37" s="85"/>
      <c r="UXJ37" s="85"/>
      <c r="UXK37" s="85"/>
      <c r="UXL37" s="85"/>
      <c r="UXM37" s="85"/>
      <c r="UXN37" s="85"/>
      <c r="UXO37" s="85"/>
      <c r="UXP37" s="85"/>
      <c r="UXQ37" s="85"/>
      <c r="UXR37" s="85"/>
      <c r="UXS37" s="85"/>
      <c r="UXT37" s="85"/>
      <c r="UXU37" s="85"/>
      <c r="UXV37" s="85"/>
      <c r="UXW37" s="85"/>
      <c r="UXX37" s="85"/>
      <c r="UXY37" s="85"/>
      <c r="UXZ37" s="85"/>
      <c r="UYA37" s="85"/>
      <c r="UYB37" s="85"/>
      <c r="UYC37" s="85"/>
      <c r="UYD37" s="85"/>
      <c r="UYE37" s="85"/>
      <c r="UYF37" s="85"/>
      <c r="UYG37" s="85"/>
      <c r="UYH37" s="85"/>
      <c r="UYI37" s="85"/>
      <c r="UYJ37" s="85"/>
      <c r="UYK37" s="85"/>
      <c r="UYL37" s="85"/>
      <c r="UYM37" s="85"/>
      <c r="UYN37" s="85"/>
      <c r="UYO37" s="85"/>
      <c r="UYP37" s="85"/>
      <c r="UYQ37" s="85"/>
      <c r="UYR37" s="85"/>
      <c r="UYS37" s="85"/>
      <c r="UYT37" s="85"/>
      <c r="UYU37" s="85"/>
      <c r="UYV37" s="85"/>
      <c r="UYW37" s="85"/>
      <c r="UYX37" s="85"/>
      <c r="UYY37" s="85"/>
      <c r="UYZ37" s="85"/>
      <c r="UZA37" s="85"/>
      <c r="UZB37" s="85"/>
      <c r="UZC37" s="85"/>
      <c r="UZD37" s="85"/>
      <c r="UZE37" s="85"/>
      <c r="UZF37" s="85"/>
      <c r="UZG37" s="85"/>
      <c r="UZH37" s="85"/>
      <c r="UZI37" s="85"/>
      <c r="UZJ37" s="85"/>
      <c r="UZK37" s="85"/>
      <c r="UZL37" s="85"/>
      <c r="UZM37" s="85"/>
      <c r="UZN37" s="85"/>
      <c r="UZO37" s="85"/>
      <c r="UZP37" s="85"/>
      <c r="UZQ37" s="85"/>
      <c r="UZR37" s="85"/>
      <c r="UZS37" s="85"/>
      <c r="UZT37" s="85"/>
      <c r="UZU37" s="85"/>
      <c r="UZV37" s="85"/>
      <c r="UZW37" s="85"/>
      <c r="UZX37" s="85"/>
      <c r="UZY37" s="85"/>
      <c r="UZZ37" s="85"/>
      <c r="VAA37" s="85"/>
      <c r="VAB37" s="85"/>
      <c r="VAC37" s="85"/>
      <c r="VAD37" s="85"/>
      <c r="VAE37" s="85"/>
      <c r="VAF37" s="85"/>
      <c r="VAG37" s="85"/>
      <c r="VAH37" s="85"/>
      <c r="VAI37" s="85"/>
      <c r="VAJ37" s="85"/>
      <c r="VAK37" s="85"/>
      <c r="VAL37" s="85"/>
      <c r="VAM37" s="85"/>
      <c r="VAN37" s="85"/>
      <c r="VAO37" s="85"/>
      <c r="VAP37" s="85"/>
      <c r="VAQ37" s="85"/>
      <c r="VAR37" s="85"/>
      <c r="VAS37" s="85"/>
      <c r="VAT37" s="85"/>
      <c r="VAU37" s="85"/>
      <c r="VAV37" s="85"/>
      <c r="VAW37" s="85"/>
      <c r="VAX37" s="85"/>
      <c r="VAY37" s="85"/>
      <c r="VAZ37" s="85"/>
      <c r="VBA37" s="85"/>
      <c r="VBB37" s="85"/>
      <c r="VBC37" s="85"/>
      <c r="VBD37" s="85"/>
      <c r="VBE37" s="85"/>
      <c r="VBF37" s="85"/>
      <c r="VBG37" s="85"/>
      <c r="VBH37" s="85"/>
      <c r="VBI37" s="85"/>
      <c r="VBJ37" s="85"/>
      <c r="VBK37" s="85"/>
      <c r="VBL37" s="85"/>
      <c r="VBM37" s="85"/>
      <c r="VBN37" s="85"/>
      <c r="VBO37" s="85"/>
      <c r="VBP37" s="85"/>
      <c r="VBQ37" s="85"/>
      <c r="VBR37" s="85"/>
      <c r="VBS37" s="85"/>
      <c r="VBT37" s="85"/>
      <c r="VBU37" s="85"/>
      <c r="VBV37" s="85"/>
      <c r="VBW37" s="85"/>
      <c r="VBX37" s="85"/>
      <c r="VBY37" s="85"/>
      <c r="VBZ37" s="85"/>
      <c r="VCA37" s="85"/>
      <c r="VCB37" s="85"/>
      <c r="VCC37" s="85"/>
      <c r="VCD37" s="85"/>
      <c r="VCE37" s="85"/>
      <c r="VCF37" s="85"/>
      <c r="VCG37" s="85"/>
      <c r="VCH37" s="85"/>
      <c r="VCI37" s="85"/>
      <c r="VCJ37" s="85"/>
      <c r="VCK37" s="85"/>
      <c r="VCL37" s="85"/>
      <c r="VCM37" s="85"/>
      <c r="VCN37" s="85"/>
      <c r="VCO37" s="85"/>
      <c r="VCP37" s="85"/>
      <c r="VCQ37" s="85"/>
      <c r="VCR37" s="85"/>
      <c r="VCS37" s="85"/>
      <c r="VCT37" s="85"/>
      <c r="VCU37" s="85"/>
      <c r="VCV37" s="85"/>
      <c r="VCW37" s="85"/>
      <c r="VCX37" s="85"/>
      <c r="VCY37" s="85"/>
      <c r="VCZ37" s="85"/>
      <c r="VDA37" s="85"/>
      <c r="VDB37" s="85"/>
      <c r="VDC37" s="85"/>
      <c r="VDD37" s="85"/>
      <c r="VDE37" s="85"/>
      <c r="VDF37" s="85"/>
      <c r="VDG37" s="85"/>
      <c r="VDH37" s="85"/>
      <c r="VDI37" s="85"/>
      <c r="VDJ37" s="85"/>
      <c r="VDK37" s="85"/>
      <c r="VDL37" s="85"/>
      <c r="VDM37" s="85"/>
      <c r="VDN37" s="85"/>
      <c r="VDO37" s="85"/>
      <c r="VDP37" s="85"/>
      <c r="VDQ37" s="85"/>
      <c r="VDR37" s="85"/>
      <c r="VDS37" s="85"/>
      <c r="VDT37" s="85"/>
      <c r="VDU37" s="85"/>
      <c r="VDV37" s="85"/>
      <c r="VDW37" s="85"/>
      <c r="VDX37" s="85"/>
      <c r="VDY37" s="85"/>
      <c r="VDZ37" s="85"/>
      <c r="VEA37" s="85"/>
      <c r="VEB37" s="85"/>
      <c r="VEC37" s="85"/>
      <c r="VED37" s="85"/>
      <c r="VEE37" s="85"/>
      <c r="VEF37" s="85"/>
      <c r="VEG37" s="85"/>
      <c r="VEH37" s="85"/>
      <c r="VEI37" s="85"/>
      <c r="VEJ37" s="85"/>
      <c r="VEK37" s="85"/>
      <c r="VEL37" s="85"/>
      <c r="VEM37" s="85"/>
      <c r="VEN37" s="85"/>
      <c r="VEO37" s="85"/>
      <c r="VEP37" s="85"/>
      <c r="VEQ37" s="85"/>
      <c r="VER37" s="85"/>
      <c r="VES37" s="85"/>
      <c r="VET37" s="85"/>
      <c r="VEU37" s="85"/>
      <c r="VEV37" s="85"/>
      <c r="VEW37" s="85"/>
      <c r="VEX37" s="85"/>
      <c r="VEY37" s="85"/>
      <c r="VEZ37" s="85"/>
      <c r="VFA37" s="85"/>
      <c r="VFB37" s="85"/>
      <c r="VFC37" s="85"/>
      <c r="VFD37" s="85"/>
      <c r="VFE37" s="85"/>
      <c r="VFF37" s="85"/>
      <c r="VFG37" s="85"/>
      <c r="VFH37" s="85"/>
      <c r="VFI37" s="85"/>
      <c r="VFJ37" s="85"/>
      <c r="VFK37" s="85"/>
      <c r="VFL37" s="85"/>
      <c r="VFM37" s="85"/>
      <c r="VFN37" s="85"/>
      <c r="VFO37" s="85"/>
      <c r="VFP37" s="85"/>
      <c r="VFQ37" s="85"/>
      <c r="VFR37" s="85"/>
      <c r="VFS37" s="85"/>
      <c r="VFT37" s="85"/>
      <c r="VFU37" s="85"/>
      <c r="VFV37" s="85"/>
      <c r="VFW37" s="85"/>
      <c r="VFX37" s="85"/>
      <c r="VFY37" s="85"/>
      <c r="VFZ37" s="85"/>
      <c r="VGA37" s="85"/>
      <c r="VGB37" s="85"/>
      <c r="VGC37" s="85"/>
      <c r="VGD37" s="85"/>
      <c r="VGE37" s="85"/>
      <c r="VGF37" s="85"/>
      <c r="VGG37" s="85"/>
      <c r="VGH37" s="85"/>
      <c r="VGI37" s="85"/>
      <c r="VGJ37" s="85"/>
      <c r="VGK37" s="85"/>
      <c r="VGL37" s="85"/>
      <c r="VGM37" s="85"/>
      <c r="VGN37" s="85"/>
      <c r="VGO37" s="85"/>
      <c r="VGP37" s="85"/>
      <c r="VGQ37" s="85"/>
      <c r="VGR37" s="85"/>
      <c r="VGS37" s="85"/>
      <c r="VGT37" s="85"/>
      <c r="VGU37" s="85"/>
      <c r="VGV37" s="85"/>
      <c r="VGW37" s="85"/>
      <c r="VGX37" s="85"/>
      <c r="VGY37" s="85"/>
      <c r="VGZ37" s="85"/>
      <c r="VHA37" s="85"/>
      <c r="VHB37" s="85"/>
      <c r="VHC37" s="85"/>
      <c r="VHD37" s="85"/>
      <c r="VHE37" s="85"/>
      <c r="VHF37" s="85"/>
      <c r="VHG37" s="85"/>
      <c r="VHH37" s="85"/>
      <c r="VHI37" s="85"/>
      <c r="VHJ37" s="85"/>
      <c r="VHK37" s="85"/>
      <c r="VHL37" s="85"/>
      <c r="VHM37" s="85"/>
      <c r="VHN37" s="85"/>
      <c r="VHO37" s="85"/>
      <c r="VHP37" s="85"/>
      <c r="VHQ37" s="85"/>
      <c r="VHR37" s="85"/>
      <c r="VHS37" s="85"/>
      <c r="VHT37" s="85"/>
      <c r="VHU37" s="85"/>
      <c r="VHV37" s="85"/>
      <c r="VHW37" s="85"/>
      <c r="VHX37" s="85"/>
      <c r="VHY37" s="85"/>
      <c r="VHZ37" s="85"/>
      <c r="VIA37" s="85"/>
      <c r="VIB37" s="85"/>
      <c r="VIC37" s="85"/>
      <c r="VID37" s="85"/>
      <c r="VIE37" s="85"/>
      <c r="VIF37" s="85"/>
      <c r="VIG37" s="85"/>
      <c r="VIH37" s="85"/>
      <c r="VII37" s="85"/>
      <c r="VIJ37" s="85"/>
      <c r="VIK37" s="85"/>
      <c r="VIL37" s="85"/>
      <c r="VIM37" s="85"/>
      <c r="VIN37" s="85"/>
      <c r="VIO37" s="85"/>
      <c r="VIP37" s="85"/>
      <c r="VIQ37" s="85"/>
      <c r="VIR37" s="85"/>
      <c r="VIS37" s="85"/>
      <c r="VIT37" s="85"/>
      <c r="VIU37" s="85"/>
      <c r="VIV37" s="85"/>
      <c r="VIW37" s="85"/>
      <c r="VIX37" s="85"/>
      <c r="VIY37" s="85"/>
      <c r="VIZ37" s="85"/>
      <c r="VJA37" s="85"/>
      <c r="VJB37" s="85"/>
      <c r="VJC37" s="85"/>
      <c r="VJD37" s="85"/>
      <c r="VJE37" s="85"/>
      <c r="VJF37" s="85"/>
      <c r="VJG37" s="85"/>
      <c r="VJH37" s="85"/>
      <c r="VJI37" s="85"/>
      <c r="VJJ37" s="85"/>
      <c r="VJK37" s="85"/>
      <c r="VJL37" s="85"/>
      <c r="VJM37" s="85"/>
      <c r="VJN37" s="85"/>
      <c r="VJO37" s="85"/>
      <c r="VJP37" s="85"/>
      <c r="VJQ37" s="85"/>
      <c r="VJR37" s="85"/>
      <c r="VJS37" s="85"/>
      <c r="VJT37" s="85"/>
      <c r="VJU37" s="85"/>
      <c r="VJV37" s="85"/>
      <c r="VJW37" s="85"/>
      <c r="VJX37" s="85"/>
      <c r="VJY37" s="85"/>
      <c r="VJZ37" s="85"/>
      <c r="VKA37" s="85"/>
      <c r="VKB37" s="85"/>
      <c r="VKC37" s="85"/>
      <c r="VKD37" s="85"/>
      <c r="VKE37" s="85"/>
      <c r="VKF37" s="85"/>
      <c r="VKG37" s="85"/>
      <c r="VKH37" s="85"/>
      <c r="VKI37" s="85"/>
      <c r="VKJ37" s="85"/>
      <c r="VKK37" s="85"/>
      <c r="VKL37" s="85"/>
      <c r="VKM37" s="85"/>
      <c r="VKN37" s="85"/>
      <c r="VKO37" s="85"/>
      <c r="VKP37" s="85"/>
      <c r="VKQ37" s="85"/>
      <c r="VKR37" s="85"/>
      <c r="VKS37" s="85"/>
      <c r="VKT37" s="85"/>
      <c r="VKU37" s="85"/>
      <c r="VKV37" s="85"/>
      <c r="VKW37" s="85"/>
      <c r="VKX37" s="85"/>
      <c r="VKY37" s="85"/>
      <c r="VKZ37" s="85"/>
      <c r="VLA37" s="85"/>
      <c r="VLB37" s="85"/>
      <c r="VLC37" s="85"/>
      <c r="VLD37" s="85"/>
      <c r="VLE37" s="85"/>
      <c r="VLF37" s="85"/>
      <c r="VLG37" s="85"/>
      <c r="VLH37" s="85"/>
      <c r="VLI37" s="85"/>
      <c r="VLJ37" s="85"/>
      <c r="VLK37" s="85"/>
      <c r="VLL37" s="85"/>
      <c r="VLM37" s="85"/>
      <c r="VLN37" s="85"/>
      <c r="VLO37" s="85"/>
      <c r="VLP37" s="85"/>
      <c r="VLQ37" s="85"/>
      <c r="VLR37" s="85"/>
      <c r="VLS37" s="85"/>
      <c r="VLT37" s="85"/>
      <c r="VLU37" s="85"/>
      <c r="VLV37" s="85"/>
      <c r="VLW37" s="85"/>
      <c r="VLX37" s="85"/>
      <c r="VLY37" s="85"/>
      <c r="VLZ37" s="85"/>
      <c r="VMA37" s="85"/>
      <c r="VMB37" s="85"/>
      <c r="VMC37" s="85"/>
      <c r="VMD37" s="85"/>
      <c r="VME37" s="85"/>
      <c r="VMF37" s="85"/>
      <c r="VMG37" s="85"/>
      <c r="VMH37" s="85"/>
      <c r="VMI37" s="85"/>
      <c r="VMJ37" s="85"/>
      <c r="VMK37" s="85"/>
      <c r="VML37" s="85"/>
      <c r="VMM37" s="85"/>
      <c r="VMN37" s="85"/>
      <c r="VMO37" s="85"/>
      <c r="VMP37" s="85"/>
      <c r="VMQ37" s="85"/>
      <c r="VMR37" s="85"/>
      <c r="VMS37" s="85"/>
      <c r="VMT37" s="85"/>
      <c r="VMU37" s="85"/>
      <c r="VMV37" s="85"/>
      <c r="VMW37" s="85"/>
      <c r="VMX37" s="85"/>
      <c r="VMY37" s="85"/>
      <c r="VMZ37" s="85"/>
      <c r="VNA37" s="85"/>
      <c r="VNB37" s="85"/>
      <c r="VNC37" s="85"/>
      <c r="VND37" s="85"/>
      <c r="VNE37" s="85"/>
      <c r="VNF37" s="85"/>
      <c r="VNG37" s="85"/>
      <c r="VNH37" s="85"/>
      <c r="VNI37" s="85"/>
      <c r="VNJ37" s="85"/>
      <c r="VNK37" s="85"/>
      <c r="VNL37" s="85"/>
      <c r="VNM37" s="85"/>
      <c r="VNN37" s="85"/>
      <c r="VNO37" s="85"/>
      <c r="VNP37" s="85"/>
      <c r="VNQ37" s="85"/>
      <c r="VNR37" s="85"/>
      <c r="VNS37" s="85"/>
      <c r="VNT37" s="85"/>
      <c r="VNU37" s="85"/>
      <c r="VNV37" s="85"/>
      <c r="VNW37" s="85"/>
      <c r="VNX37" s="85"/>
      <c r="VNY37" s="85"/>
      <c r="VNZ37" s="85"/>
      <c r="VOA37" s="85"/>
      <c r="VOB37" s="85"/>
      <c r="VOC37" s="85"/>
      <c r="VOD37" s="85"/>
      <c r="VOE37" s="85"/>
      <c r="VOF37" s="85"/>
      <c r="VOG37" s="85"/>
      <c r="VOH37" s="85"/>
      <c r="VOI37" s="85"/>
      <c r="VOJ37" s="85"/>
      <c r="VOK37" s="85"/>
      <c r="VOL37" s="85"/>
      <c r="VOM37" s="85"/>
      <c r="VON37" s="85"/>
      <c r="VOO37" s="85"/>
      <c r="VOP37" s="85"/>
      <c r="VOQ37" s="85"/>
      <c r="VOR37" s="85"/>
      <c r="VOS37" s="85"/>
      <c r="VOT37" s="85"/>
      <c r="VOU37" s="85"/>
      <c r="VOV37" s="85"/>
      <c r="VOW37" s="85"/>
      <c r="VOX37" s="85"/>
      <c r="VOY37" s="85"/>
      <c r="VOZ37" s="85"/>
      <c r="VPA37" s="85"/>
      <c r="VPB37" s="85"/>
      <c r="VPC37" s="85"/>
      <c r="VPD37" s="85"/>
      <c r="VPE37" s="85"/>
      <c r="VPF37" s="85"/>
      <c r="VPG37" s="85"/>
      <c r="VPH37" s="85"/>
      <c r="VPI37" s="85"/>
      <c r="VPJ37" s="85"/>
      <c r="VPK37" s="85"/>
      <c r="VPL37" s="85"/>
      <c r="VPM37" s="85"/>
      <c r="VPN37" s="85"/>
      <c r="VPO37" s="85"/>
      <c r="VPP37" s="85"/>
      <c r="VPQ37" s="85"/>
      <c r="VPR37" s="85"/>
      <c r="VPS37" s="85"/>
      <c r="VPT37" s="85"/>
      <c r="VPU37" s="85"/>
      <c r="VPV37" s="85"/>
      <c r="VPW37" s="85"/>
      <c r="VPX37" s="85"/>
      <c r="VPY37" s="85"/>
      <c r="VPZ37" s="85"/>
      <c r="VQA37" s="85"/>
      <c r="VQB37" s="85"/>
      <c r="VQC37" s="85"/>
      <c r="VQD37" s="85"/>
      <c r="VQE37" s="85"/>
      <c r="VQF37" s="85"/>
      <c r="VQG37" s="85"/>
      <c r="VQH37" s="85"/>
      <c r="VQI37" s="85"/>
      <c r="VQJ37" s="85"/>
      <c r="VQK37" s="85"/>
      <c r="VQL37" s="85"/>
      <c r="VQM37" s="85"/>
      <c r="VQN37" s="85"/>
      <c r="VQO37" s="85"/>
      <c r="VQP37" s="85"/>
      <c r="VQQ37" s="85"/>
      <c r="VQR37" s="85"/>
      <c r="VQS37" s="85"/>
      <c r="VQT37" s="85"/>
      <c r="VQU37" s="85"/>
      <c r="VQV37" s="85"/>
      <c r="VQW37" s="85"/>
      <c r="VQX37" s="85"/>
      <c r="VQY37" s="85"/>
      <c r="VQZ37" s="85"/>
      <c r="VRA37" s="85"/>
      <c r="VRB37" s="85"/>
      <c r="VRC37" s="85"/>
      <c r="VRD37" s="85"/>
      <c r="VRE37" s="85"/>
      <c r="VRF37" s="85"/>
      <c r="VRG37" s="85"/>
      <c r="VRH37" s="85"/>
      <c r="VRI37" s="85"/>
      <c r="VRJ37" s="85"/>
      <c r="VRK37" s="85"/>
      <c r="VRL37" s="85"/>
      <c r="VRM37" s="85"/>
      <c r="VRN37" s="85"/>
      <c r="VRO37" s="85"/>
      <c r="VRP37" s="85"/>
      <c r="VRQ37" s="85"/>
      <c r="VRR37" s="85"/>
      <c r="VRS37" s="85"/>
      <c r="VRT37" s="85"/>
      <c r="VRU37" s="85"/>
      <c r="VRV37" s="85"/>
      <c r="VRW37" s="85"/>
      <c r="VRX37" s="85"/>
      <c r="VRY37" s="85"/>
      <c r="VRZ37" s="85"/>
      <c r="VSA37" s="85"/>
      <c r="VSB37" s="85"/>
      <c r="VSC37" s="85"/>
      <c r="VSD37" s="85"/>
      <c r="VSE37" s="85"/>
      <c r="VSF37" s="85"/>
      <c r="VSG37" s="85"/>
      <c r="VSH37" s="85"/>
      <c r="VSI37" s="85"/>
      <c r="VSJ37" s="85"/>
      <c r="VSK37" s="85"/>
      <c r="VSL37" s="85"/>
      <c r="VSM37" s="85"/>
      <c r="VSN37" s="85"/>
      <c r="VSO37" s="85"/>
      <c r="VSP37" s="85"/>
      <c r="VSQ37" s="85"/>
      <c r="VSR37" s="85"/>
      <c r="VSS37" s="85"/>
      <c r="VST37" s="85"/>
      <c r="VSU37" s="85"/>
      <c r="VSV37" s="85"/>
      <c r="VSW37" s="85"/>
      <c r="VSX37" s="85"/>
      <c r="VSY37" s="85"/>
      <c r="VSZ37" s="85"/>
      <c r="VTA37" s="85"/>
      <c r="VTB37" s="85"/>
      <c r="VTC37" s="85"/>
      <c r="VTD37" s="85"/>
      <c r="VTE37" s="85"/>
      <c r="VTF37" s="85"/>
      <c r="VTG37" s="85"/>
      <c r="VTH37" s="85"/>
      <c r="VTI37" s="85"/>
      <c r="VTJ37" s="85"/>
      <c r="VTK37" s="85"/>
      <c r="VTL37" s="85"/>
      <c r="VTM37" s="85"/>
      <c r="VTN37" s="85"/>
      <c r="VTO37" s="85"/>
      <c r="VTP37" s="85"/>
      <c r="VTQ37" s="85"/>
      <c r="VTR37" s="85"/>
      <c r="VTS37" s="85"/>
      <c r="VTT37" s="85"/>
      <c r="VTU37" s="85"/>
      <c r="VTV37" s="85"/>
      <c r="VTW37" s="85"/>
      <c r="VTX37" s="85"/>
      <c r="VTY37" s="85"/>
      <c r="VTZ37" s="85"/>
      <c r="VUA37" s="85"/>
      <c r="VUB37" s="85"/>
      <c r="VUC37" s="85"/>
      <c r="VUD37" s="85"/>
      <c r="VUE37" s="85"/>
      <c r="VUF37" s="85"/>
      <c r="VUG37" s="85"/>
      <c r="VUH37" s="85"/>
      <c r="VUI37" s="85"/>
      <c r="VUJ37" s="85"/>
      <c r="VUK37" s="85"/>
      <c r="VUL37" s="85"/>
      <c r="VUM37" s="85"/>
      <c r="VUN37" s="85"/>
      <c r="VUO37" s="85"/>
      <c r="VUP37" s="85"/>
      <c r="VUQ37" s="85"/>
      <c r="VUR37" s="85"/>
      <c r="VUS37" s="85"/>
      <c r="VUT37" s="85"/>
      <c r="VUU37" s="85"/>
      <c r="VUV37" s="85"/>
      <c r="VUW37" s="85"/>
      <c r="VUX37" s="85"/>
      <c r="VUY37" s="85"/>
      <c r="VUZ37" s="85"/>
      <c r="VVA37" s="85"/>
      <c r="VVB37" s="85"/>
      <c r="VVC37" s="85"/>
      <c r="VVD37" s="85"/>
      <c r="VVE37" s="85"/>
      <c r="VVF37" s="85"/>
      <c r="VVG37" s="85"/>
      <c r="VVH37" s="85"/>
      <c r="VVI37" s="85"/>
      <c r="VVJ37" s="85"/>
      <c r="VVK37" s="85"/>
      <c r="VVL37" s="85"/>
      <c r="VVM37" s="85"/>
      <c r="VVN37" s="85"/>
      <c r="VVO37" s="85"/>
      <c r="VVP37" s="85"/>
      <c r="VVQ37" s="85"/>
      <c r="VVR37" s="85"/>
      <c r="VVS37" s="85"/>
      <c r="VVT37" s="85"/>
      <c r="VVU37" s="85"/>
      <c r="VVV37" s="85"/>
      <c r="VVW37" s="85"/>
      <c r="VVX37" s="85"/>
      <c r="VVY37" s="85"/>
      <c r="VVZ37" s="85"/>
      <c r="VWA37" s="85"/>
      <c r="VWB37" s="85"/>
      <c r="VWC37" s="85"/>
      <c r="VWD37" s="85"/>
      <c r="VWE37" s="85"/>
      <c r="VWF37" s="85"/>
      <c r="VWG37" s="85"/>
      <c r="VWH37" s="85"/>
      <c r="VWI37" s="85"/>
      <c r="VWJ37" s="85"/>
      <c r="VWK37" s="85"/>
      <c r="VWL37" s="85"/>
      <c r="VWM37" s="85"/>
      <c r="VWN37" s="85"/>
      <c r="VWO37" s="85"/>
      <c r="VWP37" s="85"/>
      <c r="VWQ37" s="85"/>
      <c r="VWR37" s="85"/>
      <c r="VWS37" s="85"/>
      <c r="VWT37" s="85"/>
      <c r="VWU37" s="85"/>
      <c r="VWV37" s="85"/>
      <c r="VWW37" s="85"/>
      <c r="VWX37" s="85"/>
      <c r="VWY37" s="85"/>
      <c r="VWZ37" s="85"/>
      <c r="VXA37" s="85"/>
      <c r="VXB37" s="85"/>
      <c r="VXC37" s="85"/>
      <c r="VXD37" s="85"/>
      <c r="VXE37" s="85"/>
      <c r="VXF37" s="85"/>
      <c r="VXG37" s="85"/>
      <c r="VXH37" s="85"/>
      <c r="VXI37" s="85"/>
      <c r="VXJ37" s="85"/>
      <c r="VXK37" s="85"/>
      <c r="VXL37" s="85"/>
      <c r="VXM37" s="85"/>
      <c r="VXN37" s="85"/>
      <c r="VXO37" s="85"/>
      <c r="VXP37" s="85"/>
      <c r="VXQ37" s="85"/>
      <c r="VXR37" s="85"/>
      <c r="VXS37" s="85"/>
      <c r="VXT37" s="85"/>
      <c r="VXU37" s="85"/>
      <c r="VXV37" s="85"/>
      <c r="VXW37" s="85"/>
      <c r="VXX37" s="85"/>
      <c r="VXY37" s="85"/>
      <c r="VXZ37" s="85"/>
      <c r="VYA37" s="85"/>
      <c r="VYB37" s="85"/>
      <c r="VYC37" s="85"/>
      <c r="VYD37" s="85"/>
      <c r="VYE37" s="85"/>
      <c r="VYF37" s="85"/>
      <c r="VYG37" s="85"/>
      <c r="VYH37" s="85"/>
      <c r="VYI37" s="85"/>
      <c r="VYJ37" s="85"/>
      <c r="VYK37" s="85"/>
      <c r="VYL37" s="85"/>
      <c r="VYM37" s="85"/>
      <c r="VYN37" s="85"/>
      <c r="VYO37" s="85"/>
      <c r="VYP37" s="85"/>
      <c r="VYQ37" s="85"/>
      <c r="VYR37" s="85"/>
      <c r="VYS37" s="85"/>
      <c r="VYT37" s="85"/>
      <c r="VYU37" s="85"/>
      <c r="VYV37" s="85"/>
      <c r="VYW37" s="85"/>
      <c r="VYX37" s="85"/>
      <c r="VYY37" s="85"/>
      <c r="VYZ37" s="85"/>
      <c r="VZA37" s="85"/>
      <c r="VZB37" s="85"/>
      <c r="VZC37" s="85"/>
      <c r="VZD37" s="85"/>
      <c r="VZE37" s="85"/>
      <c r="VZF37" s="85"/>
      <c r="VZG37" s="85"/>
      <c r="VZH37" s="85"/>
      <c r="VZI37" s="85"/>
      <c r="VZJ37" s="85"/>
      <c r="VZK37" s="85"/>
      <c r="VZL37" s="85"/>
      <c r="VZM37" s="85"/>
      <c r="VZN37" s="85"/>
      <c r="VZO37" s="85"/>
      <c r="VZP37" s="85"/>
      <c r="VZQ37" s="85"/>
      <c r="VZR37" s="85"/>
      <c r="VZS37" s="85"/>
      <c r="VZT37" s="85"/>
      <c r="VZU37" s="85"/>
      <c r="VZV37" s="85"/>
      <c r="VZW37" s="85"/>
      <c r="VZX37" s="85"/>
      <c r="VZY37" s="85"/>
      <c r="VZZ37" s="85"/>
      <c r="WAA37" s="85"/>
      <c r="WAB37" s="85"/>
      <c r="WAC37" s="85"/>
      <c r="WAD37" s="85"/>
      <c r="WAE37" s="85"/>
      <c r="WAF37" s="85"/>
      <c r="WAG37" s="85"/>
      <c r="WAH37" s="85"/>
      <c r="WAI37" s="85"/>
      <c r="WAJ37" s="85"/>
      <c r="WAK37" s="85"/>
      <c r="WAL37" s="85"/>
      <c r="WAM37" s="85"/>
      <c r="WAN37" s="85"/>
      <c r="WAO37" s="85"/>
      <c r="WAP37" s="85"/>
      <c r="WAQ37" s="85"/>
      <c r="WAR37" s="85"/>
      <c r="WAS37" s="85"/>
      <c r="WAT37" s="85"/>
      <c r="WAU37" s="85"/>
      <c r="WAV37" s="85"/>
      <c r="WAW37" s="85"/>
      <c r="WAX37" s="85"/>
      <c r="WAY37" s="85"/>
      <c r="WAZ37" s="85"/>
      <c r="WBA37" s="85"/>
      <c r="WBB37" s="85"/>
      <c r="WBC37" s="85"/>
      <c r="WBD37" s="85"/>
      <c r="WBE37" s="85"/>
      <c r="WBF37" s="85"/>
      <c r="WBG37" s="85"/>
      <c r="WBH37" s="85"/>
      <c r="WBI37" s="85"/>
      <c r="WBJ37" s="85"/>
      <c r="WBK37" s="85"/>
      <c r="WBL37" s="85"/>
      <c r="WBM37" s="85"/>
      <c r="WBN37" s="85"/>
      <c r="WBO37" s="85"/>
      <c r="WBP37" s="85"/>
      <c r="WBQ37" s="85"/>
      <c r="WBR37" s="85"/>
      <c r="WBS37" s="85"/>
      <c r="WBT37" s="85"/>
      <c r="WBU37" s="85"/>
      <c r="WBV37" s="85"/>
      <c r="WBW37" s="85"/>
      <c r="WBX37" s="85"/>
      <c r="WBY37" s="85"/>
      <c r="WBZ37" s="85"/>
      <c r="WCA37" s="85"/>
      <c r="WCB37" s="85"/>
      <c r="WCC37" s="85"/>
      <c r="WCD37" s="85"/>
      <c r="WCE37" s="85"/>
      <c r="WCF37" s="85"/>
      <c r="WCG37" s="85"/>
      <c r="WCH37" s="85"/>
      <c r="WCI37" s="85"/>
      <c r="WCJ37" s="85"/>
      <c r="WCK37" s="85"/>
      <c r="WCL37" s="85"/>
      <c r="WCM37" s="85"/>
      <c r="WCN37" s="85"/>
      <c r="WCO37" s="85"/>
      <c r="WCP37" s="85"/>
      <c r="WCQ37" s="85"/>
      <c r="WCR37" s="85"/>
      <c r="WCS37" s="85"/>
      <c r="WCT37" s="85"/>
      <c r="WCU37" s="85"/>
      <c r="WCV37" s="85"/>
      <c r="WCW37" s="85"/>
      <c r="WCX37" s="85"/>
      <c r="WCY37" s="85"/>
      <c r="WCZ37" s="85"/>
      <c r="WDA37" s="85"/>
      <c r="WDB37" s="85"/>
      <c r="WDC37" s="85"/>
      <c r="WDD37" s="85"/>
      <c r="WDE37" s="85"/>
      <c r="WDF37" s="85"/>
      <c r="WDG37" s="85"/>
      <c r="WDH37" s="85"/>
      <c r="WDI37" s="85"/>
      <c r="WDJ37" s="85"/>
      <c r="WDK37" s="85"/>
      <c r="WDL37" s="85"/>
      <c r="WDM37" s="85"/>
      <c r="WDN37" s="85"/>
      <c r="WDO37" s="85"/>
      <c r="WDP37" s="85"/>
      <c r="WDQ37" s="85"/>
      <c r="WDR37" s="85"/>
      <c r="WDS37" s="85"/>
      <c r="WDT37" s="85"/>
      <c r="WDU37" s="85"/>
      <c r="WDV37" s="85"/>
      <c r="WDW37" s="85"/>
      <c r="WDX37" s="85"/>
      <c r="WDY37" s="85"/>
      <c r="WDZ37" s="85"/>
      <c r="WEA37" s="85"/>
      <c r="WEB37" s="85"/>
      <c r="WEC37" s="85"/>
      <c r="WED37" s="85"/>
      <c r="WEE37" s="85"/>
      <c r="WEF37" s="85"/>
      <c r="WEG37" s="85"/>
      <c r="WEH37" s="85"/>
      <c r="WEI37" s="85"/>
      <c r="WEJ37" s="85"/>
      <c r="WEK37" s="85"/>
      <c r="WEL37" s="85"/>
      <c r="WEM37" s="85"/>
      <c r="WEN37" s="85"/>
      <c r="WEO37" s="85"/>
      <c r="WEP37" s="85"/>
      <c r="WEQ37" s="85"/>
      <c r="WER37" s="85"/>
      <c r="WES37" s="85"/>
      <c r="WET37" s="85"/>
      <c r="WEU37" s="85"/>
      <c r="WEV37" s="85"/>
      <c r="WEW37" s="85"/>
      <c r="WEX37" s="85"/>
      <c r="WEY37" s="85"/>
      <c r="WEZ37" s="85"/>
      <c r="WFA37" s="85"/>
      <c r="WFB37" s="85"/>
      <c r="WFC37" s="85"/>
      <c r="WFD37" s="85"/>
      <c r="WFE37" s="85"/>
      <c r="WFF37" s="85"/>
      <c r="WFG37" s="85"/>
      <c r="WFH37" s="85"/>
      <c r="WFI37" s="85"/>
      <c r="WFJ37" s="85"/>
      <c r="WFK37" s="85"/>
      <c r="WFL37" s="85"/>
      <c r="WFM37" s="85"/>
      <c r="WFN37" s="85"/>
      <c r="WFO37" s="85"/>
      <c r="WFP37" s="85"/>
      <c r="WFQ37" s="85"/>
      <c r="WFR37" s="85"/>
      <c r="WFS37" s="85"/>
      <c r="WFT37" s="85"/>
      <c r="WFU37" s="85"/>
      <c r="WFV37" s="85"/>
      <c r="WFW37" s="85"/>
      <c r="WFX37" s="85"/>
      <c r="WFY37" s="85"/>
      <c r="WFZ37" s="85"/>
      <c r="WGA37" s="85"/>
      <c r="WGB37" s="85"/>
      <c r="WGC37" s="85"/>
      <c r="WGD37" s="85"/>
      <c r="WGE37" s="85"/>
      <c r="WGF37" s="85"/>
      <c r="WGG37" s="85"/>
      <c r="WGH37" s="85"/>
      <c r="WGI37" s="85"/>
      <c r="WGJ37" s="85"/>
      <c r="WGK37" s="85"/>
      <c r="WGL37" s="85"/>
      <c r="WGM37" s="85"/>
      <c r="WGN37" s="85"/>
      <c r="WGO37" s="85"/>
      <c r="WGP37" s="85"/>
      <c r="WGQ37" s="85"/>
      <c r="WGR37" s="85"/>
      <c r="WGS37" s="85"/>
      <c r="WGT37" s="85"/>
      <c r="WGU37" s="85"/>
      <c r="WGV37" s="85"/>
      <c r="WGW37" s="85"/>
      <c r="WGX37" s="85"/>
      <c r="WGY37" s="85"/>
      <c r="WGZ37" s="85"/>
      <c r="WHA37" s="85"/>
      <c r="WHB37" s="85"/>
      <c r="WHC37" s="85"/>
      <c r="WHD37" s="85"/>
      <c r="WHE37" s="85"/>
      <c r="WHF37" s="85"/>
      <c r="WHG37" s="85"/>
      <c r="WHH37" s="85"/>
      <c r="WHI37" s="85"/>
      <c r="WHJ37" s="85"/>
      <c r="WHK37" s="85"/>
      <c r="WHL37" s="85"/>
      <c r="WHM37" s="85"/>
      <c r="WHN37" s="85"/>
      <c r="WHO37" s="85"/>
      <c r="WHP37" s="85"/>
      <c r="WHQ37" s="85"/>
      <c r="WHR37" s="85"/>
      <c r="WHS37" s="85"/>
      <c r="WHT37" s="85"/>
      <c r="WHU37" s="85"/>
      <c r="WHV37" s="85"/>
      <c r="WHW37" s="85"/>
      <c r="WHX37" s="85"/>
      <c r="WHY37" s="85"/>
      <c r="WHZ37" s="85"/>
      <c r="WIA37" s="85"/>
      <c r="WIB37" s="85"/>
      <c r="WIC37" s="85"/>
      <c r="WID37" s="85"/>
      <c r="WIE37" s="85"/>
      <c r="WIF37" s="85"/>
      <c r="WIG37" s="85"/>
      <c r="WIH37" s="85"/>
      <c r="WII37" s="85"/>
      <c r="WIJ37" s="85"/>
      <c r="WIK37" s="85"/>
      <c r="WIL37" s="85"/>
      <c r="WIM37" s="85"/>
      <c r="WIN37" s="85"/>
      <c r="WIO37" s="85"/>
      <c r="WIP37" s="85"/>
      <c r="WIQ37" s="85"/>
      <c r="WIR37" s="85"/>
      <c r="WIS37" s="85"/>
      <c r="WIT37" s="85"/>
      <c r="WIU37" s="85"/>
      <c r="WIV37" s="85"/>
      <c r="WIW37" s="85"/>
      <c r="WIX37" s="85"/>
      <c r="WIY37" s="85"/>
      <c r="WIZ37" s="85"/>
      <c r="WJA37" s="85"/>
      <c r="WJB37" s="85"/>
      <c r="WJC37" s="85"/>
      <c r="WJD37" s="85"/>
      <c r="WJE37" s="85"/>
      <c r="WJF37" s="85"/>
      <c r="WJG37" s="85"/>
      <c r="WJH37" s="85"/>
      <c r="WJI37" s="85"/>
      <c r="WJJ37" s="85"/>
      <c r="WJK37" s="85"/>
      <c r="WJL37" s="85"/>
      <c r="WJM37" s="85"/>
      <c r="WJN37" s="85"/>
      <c r="WJO37" s="85"/>
      <c r="WJP37" s="85"/>
      <c r="WJQ37" s="85"/>
      <c r="WJR37" s="85"/>
      <c r="WJS37" s="85"/>
      <c r="WJT37" s="85"/>
      <c r="WJU37" s="85"/>
      <c r="WJV37" s="85"/>
      <c r="WJW37" s="85"/>
      <c r="WJX37" s="85"/>
      <c r="WJY37" s="85"/>
      <c r="WJZ37" s="85"/>
      <c r="WKA37" s="85"/>
      <c r="WKB37" s="85"/>
      <c r="WKC37" s="85"/>
      <c r="WKD37" s="85"/>
      <c r="WKE37" s="85"/>
      <c r="WKF37" s="85"/>
      <c r="WKG37" s="85"/>
      <c r="WKH37" s="85"/>
      <c r="WKI37" s="85"/>
      <c r="WKJ37" s="85"/>
      <c r="WKK37" s="85"/>
      <c r="WKL37" s="85"/>
      <c r="WKM37" s="85"/>
      <c r="WKN37" s="85"/>
      <c r="WKO37" s="85"/>
      <c r="WKP37" s="85"/>
      <c r="WKQ37" s="85"/>
      <c r="WKR37" s="85"/>
      <c r="WKS37" s="85"/>
      <c r="WKT37" s="85"/>
      <c r="WKU37" s="85"/>
      <c r="WKV37" s="85"/>
      <c r="WKW37" s="85"/>
      <c r="WKX37" s="85"/>
      <c r="WKY37" s="85"/>
      <c r="WKZ37" s="85"/>
      <c r="WLA37" s="85"/>
      <c r="WLB37" s="85"/>
      <c r="WLC37" s="85"/>
      <c r="WLD37" s="85"/>
      <c r="WLE37" s="85"/>
      <c r="WLF37" s="85"/>
      <c r="WLG37" s="85"/>
      <c r="WLH37" s="85"/>
      <c r="WLI37" s="85"/>
      <c r="WLJ37" s="85"/>
      <c r="WLK37" s="85"/>
      <c r="WLL37" s="85"/>
      <c r="WLM37" s="85"/>
      <c r="WLN37" s="85"/>
      <c r="WLO37" s="85"/>
      <c r="WLP37" s="85"/>
      <c r="WLQ37" s="85"/>
      <c r="WLR37" s="85"/>
      <c r="WLS37" s="85"/>
      <c r="WLT37" s="85"/>
      <c r="WLU37" s="85"/>
      <c r="WLV37" s="85"/>
      <c r="WLW37" s="85"/>
      <c r="WLX37" s="85"/>
      <c r="WLY37" s="85"/>
      <c r="WLZ37" s="85"/>
      <c r="WMA37" s="85"/>
      <c r="WMB37" s="85"/>
      <c r="WMC37" s="85"/>
      <c r="WMD37" s="85"/>
      <c r="WME37" s="85"/>
      <c r="WMF37" s="85"/>
      <c r="WMG37" s="85"/>
      <c r="WMH37" s="85"/>
      <c r="WMI37" s="85"/>
      <c r="WMJ37" s="85"/>
      <c r="WMK37" s="85"/>
      <c r="WML37" s="85"/>
      <c r="WMM37" s="85"/>
      <c r="WMN37" s="85"/>
      <c r="WMO37" s="85"/>
      <c r="WMP37" s="85"/>
      <c r="WMQ37" s="85"/>
      <c r="WMR37" s="85"/>
      <c r="WMS37" s="85"/>
      <c r="WMT37" s="85"/>
      <c r="WMU37" s="85"/>
      <c r="WMV37" s="85"/>
      <c r="WMW37" s="85"/>
      <c r="WMX37" s="85"/>
      <c r="WMY37" s="85"/>
      <c r="WMZ37" s="85"/>
      <c r="WNA37" s="85"/>
      <c r="WNB37" s="85"/>
      <c r="WNC37" s="85"/>
      <c r="WND37" s="85"/>
      <c r="WNE37" s="85"/>
      <c r="WNF37" s="85"/>
      <c r="WNG37" s="85"/>
      <c r="WNH37" s="85"/>
      <c r="WNI37" s="85"/>
      <c r="WNJ37" s="85"/>
      <c r="WNK37" s="85"/>
      <c r="WNL37" s="85"/>
      <c r="WNM37" s="85"/>
      <c r="WNN37" s="85"/>
      <c r="WNO37" s="85"/>
      <c r="WNP37" s="85"/>
      <c r="WNQ37" s="85"/>
      <c r="WNR37" s="85"/>
      <c r="WNS37" s="85"/>
      <c r="WNT37" s="85"/>
      <c r="WNU37" s="85"/>
      <c r="WNV37" s="85"/>
      <c r="WNW37" s="85"/>
      <c r="WNX37" s="85"/>
      <c r="WNY37" s="85"/>
      <c r="WNZ37" s="85"/>
      <c r="WOA37" s="85"/>
      <c r="WOB37" s="85"/>
      <c r="WOC37" s="85"/>
      <c r="WOD37" s="85"/>
      <c r="WOE37" s="85"/>
      <c r="WOF37" s="85"/>
      <c r="WOG37" s="85"/>
      <c r="WOH37" s="85"/>
      <c r="WOI37" s="85"/>
      <c r="WOJ37" s="85"/>
      <c r="WOK37" s="85"/>
      <c r="WOL37" s="85"/>
      <c r="WOM37" s="85"/>
      <c r="WON37" s="85"/>
      <c r="WOO37" s="85"/>
      <c r="WOP37" s="85"/>
      <c r="WOQ37" s="85"/>
      <c r="WOR37" s="85"/>
      <c r="WOS37" s="85"/>
      <c r="WOT37" s="85"/>
      <c r="WOU37" s="85"/>
      <c r="WOV37" s="85"/>
      <c r="WOW37" s="85"/>
      <c r="WOX37" s="85"/>
      <c r="WOY37" s="85"/>
      <c r="WOZ37" s="85"/>
      <c r="WPA37" s="85"/>
      <c r="WPB37" s="85"/>
      <c r="WPC37" s="85"/>
      <c r="WPD37" s="85"/>
      <c r="WPE37" s="85"/>
      <c r="WPF37" s="85"/>
      <c r="WPG37" s="85"/>
      <c r="WPH37" s="85"/>
      <c r="WPI37" s="85"/>
      <c r="WPJ37" s="85"/>
      <c r="WPK37" s="85"/>
      <c r="WPL37" s="85"/>
      <c r="WPM37" s="85"/>
      <c r="WPN37" s="85"/>
      <c r="WPO37" s="85"/>
      <c r="WPP37" s="85"/>
      <c r="WPQ37" s="85"/>
      <c r="WPR37" s="85"/>
      <c r="WPS37" s="85"/>
      <c r="WPT37" s="85"/>
      <c r="WPU37" s="85"/>
      <c r="WPV37" s="85"/>
      <c r="WPW37" s="85"/>
      <c r="WPX37" s="85"/>
      <c r="WPY37" s="85"/>
      <c r="WPZ37" s="85"/>
      <c r="WQA37" s="85"/>
      <c r="WQB37" s="85"/>
      <c r="WQC37" s="85"/>
      <c r="WQD37" s="85"/>
      <c r="WQE37" s="85"/>
      <c r="WQF37" s="85"/>
      <c r="WQG37" s="85"/>
      <c r="WQH37" s="85"/>
      <c r="WQI37" s="85"/>
      <c r="WQJ37" s="85"/>
      <c r="WQK37" s="85"/>
      <c r="WQL37" s="85"/>
      <c r="WQM37" s="85"/>
      <c r="WQN37" s="85"/>
      <c r="WQO37" s="85"/>
      <c r="WQP37" s="85"/>
      <c r="WQQ37" s="85"/>
      <c r="WQR37" s="85"/>
      <c r="WQS37" s="85"/>
      <c r="WQT37" s="85"/>
      <c r="WQU37" s="85"/>
      <c r="WQV37" s="85"/>
      <c r="WQW37" s="85"/>
      <c r="WQX37" s="85"/>
      <c r="WQY37" s="85"/>
      <c r="WQZ37" s="85"/>
      <c r="WRA37" s="85"/>
      <c r="WRB37" s="85"/>
      <c r="WRC37" s="85"/>
      <c r="WRD37" s="85"/>
      <c r="WRE37" s="85"/>
      <c r="WRF37" s="85"/>
      <c r="WRG37" s="85"/>
      <c r="WRH37" s="85"/>
      <c r="WRI37" s="85"/>
      <c r="WRJ37" s="85"/>
      <c r="WRK37" s="85"/>
      <c r="WRL37" s="85"/>
      <c r="WRM37" s="85"/>
      <c r="WRN37" s="85"/>
      <c r="WRO37" s="85"/>
      <c r="WRP37" s="85"/>
      <c r="WRQ37" s="85"/>
      <c r="WRR37" s="85"/>
      <c r="WRS37" s="85"/>
      <c r="WRT37" s="85"/>
      <c r="WRU37" s="85"/>
      <c r="WRV37" s="85"/>
      <c r="WRW37" s="85"/>
      <c r="WRX37" s="85"/>
      <c r="WRY37" s="85"/>
      <c r="WRZ37" s="85"/>
      <c r="WSA37" s="85"/>
      <c r="WSB37" s="85"/>
      <c r="WSC37" s="85"/>
      <c r="WSD37" s="85"/>
      <c r="WSE37" s="85"/>
      <c r="WSF37" s="85"/>
      <c r="WSG37" s="85"/>
      <c r="WSH37" s="85"/>
      <c r="WSI37" s="85"/>
      <c r="WSJ37" s="85"/>
      <c r="WSK37" s="85"/>
      <c r="WSL37" s="85"/>
      <c r="WSM37" s="85"/>
      <c r="WSN37" s="85"/>
      <c r="WSO37" s="85"/>
      <c r="WSP37" s="85"/>
      <c r="WSQ37" s="85"/>
      <c r="WSR37" s="85"/>
      <c r="WSS37" s="85"/>
      <c r="WST37" s="85"/>
      <c r="WSU37" s="85"/>
      <c r="WSV37" s="85"/>
      <c r="WSW37" s="85"/>
      <c r="WSX37" s="85"/>
      <c r="WSY37" s="85"/>
      <c r="WSZ37" s="85"/>
      <c r="WTA37" s="85"/>
      <c r="WTB37" s="85"/>
      <c r="WTC37" s="85"/>
      <c r="WTD37" s="85"/>
      <c r="WTE37" s="85"/>
      <c r="WTF37" s="85"/>
      <c r="WTG37" s="85"/>
      <c r="WTH37" s="85"/>
      <c r="WTI37" s="85"/>
      <c r="WTJ37" s="85"/>
      <c r="WTK37" s="85"/>
      <c r="WTL37" s="85"/>
      <c r="WTM37" s="85"/>
      <c r="WTN37" s="85"/>
      <c r="WTO37" s="85"/>
      <c r="WTP37" s="85"/>
      <c r="WTQ37" s="85"/>
      <c r="WTR37" s="85"/>
      <c r="WTS37" s="85"/>
      <c r="WTT37" s="85"/>
      <c r="WTU37" s="85"/>
      <c r="WTV37" s="85"/>
      <c r="WTW37" s="85"/>
      <c r="WTX37" s="85"/>
      <c r="WTY37" s="85"/>
      <c r="WTZ37" s="85"/>
      <c r="WUA37" s="85"/>
      <c r="WUB37" s="85"/>
      <c r="WUC37" s="85"/>
      <c r="WUD37" s="85"/>
      <c r="WUE37" s="85"/>
      <c r="WUF37" s="85"/>
      <c r="WUG37" s="85"/>
      <c r="WUH37" s="85"/>
      <c r="WUI37" s="85"/>
      <c r="WUJ37" s="85"/>
      <c r="WUK37" s="85"/>
      <c r="WUL37" s="85"/>
      <c r="WUM37" s="85"/>
      <c r="WUN37" s="85"/>
      <c r="WUO37" s="85"/>
      <c r="WUP37" s="85"/>
      <c r="WUQ37" s="85"/>
      <c r="WUR37" s="85"/>
      <c r="WUS37" s="85"/>
      <c r="WUT37" s="85"/>
      <c r="WUU37" s="85"/>
      <c r="WUV37" s="85"/>
      <c r="WUW37" s="85"/>
      <c r="WUX37" s="85"/>
      <c r="WUY37" s="85"/>
      <c r="WUZ37" s="85"/>
      <c r="WVA37" s="85"/>
      <c r="WVB37" s="85"/>
      <c r="WVC37" s="85"/>
      <c r="WVD37" s="85"/>
      <c r="WVE37" s="85"/>
      <c r="WVF37" s="85"/>
      <c r="WVG37" s="85"/>
      <c r="WVH37" s="85"/>
      <c r="WVI37" s="85"/>
      <c r="WVJ37" s="85"/>
      <c r="WVK37" s="85"/>
      <c r="WVL37" s="85"/>
      <c r="WVM37" s="85"/>
      <c r="WVN37" s="85"/>
      <c r="WVO37" s="85"/>
      <c r="WVP37" s="85"/>
      <c r="WVQ37" s="85"/>
      <c r="WVR37" s="85"/>
      <c r="WVS37" s="85"/>
      <c r="WVT37" s="85"/>
      <c r="WVU37" s="85"/>
      <c r="WVV37" s="85"/>
      <c r="WVW37" s="85"/>
      <c r="WVX37" s="85"/>
      <c r="WVY37" s="85"/>
      <c r="WVZ37" s="85"/>
      <c r="WWA37" s="85"/>
      <c r="WWB37" s="85"/>
      <c r="WWC37" s="85"/>
      <c r="WWD37" s="85"/>
      <c r="WWE37" s="85"/>
      <c r="WWF37" s="85"/>
      <c r="WWG37" s="85"/>
      <c r="WWH37" s="85"/>
      <c r="WWI37" s="85"/>
      <c r="WWJ37" s="85"/>
      <c r="WWK37" s="85"/>
      <c r="WWL37" s="85"/>
      <c r="WWM37" s="85"/>
      <c r="WWN37" s="85"/>
      <c r="WWO37" s="85"/>
      <c r="WWP37" s="85"/>
      <c r="WWQ37" s="85"/>
      <c r="WWR37" s="85"/>
      <c r="WWS37" s="85"/>
      <c r="WWT37" s="85"/>
      <c r="WWU37" s="85"/>
      <c r="WWV37" s="85"/>
      <c r="WWW37" s="85"/>
      <c r="WWX37" s="85"/>
      <c r="WWY37" s="85"/>
      <c r="WWZ37" s="85"/>
      <c r="WXA37" s="85"/>
      <c r="WXB37" s="85"/>
      <c r="WXC37" s="85"/>
      <c r="WXD37" s="85"/>
      <c r="WXE37" s="85"/>
      <c r="WXF37" s="85"/>
      <c r="WXG37" s="85"/>
      <c r="WXH37" s="85"/>
      <c r="WXI37" s="85"/>
      <c r="WXJ37" s="85"/>
      <c r="WXK37" s="85"/>
      <c r="WXL37" s="85"/>
      <c r="WXM37" s="85"/>
      <c r="WXN37" s="85"/>
      <c r="WXO37" s="85"/>
      <c r="WXP37" s="85"/>
      <c r="WXQ37" s="85"/>
      <c r="WXR37" s="85"/>
      <c r="WXS37" s="85"/>
      <c r="WXT37" s="85"/>
      <c r="WXU37" s="85"/>
      <c r="WXV37" s="85"/>
      <c r="WXW37" s="85"/>
      <c r="WXX37" s="85"/>
      <c r="WXY37" s="85"/>
      <c r="WXZ37" s="85"/>
      <c r="WYA37" s="85"/>
      <c r="WYB37" s="85"/>
      <c r="WYC37" s="85"/>
      <c r="WYD37" s="85"/>
      <c r="WYE37" s="85"/>
      <c r="WYF37" s="85"/>
      <c r="WYG37" s="85"/>
      <c r="WYH37" s="85"/>
      <c r="WYI37" s="85"/>
      <c r="WYJ37" s="85"/>
      <c r="WYK37" s="85"/>
      <c r="WYL37" s="85"/>
      <c r="WYM37" s="85"/>
      <c r="WYN37" s="85"/>
      <c r="WYO37" s="85"/>
      <c r="WYP37" s="85"/>
      <c r="WYQ37" s="85"/>
      <c r="WYR37" s="85"/>
      <c r="WYS37" s="85"/>
      <c r="WYT37" s="85"/>
      <c r="WYU37" s="85"/>
      <c r="WYV37" s="85"/>
      <c r="WYW37" s="85"/>
      <c r="WYX37" s="85"/>
      <c r="WYY37" s="85"/>
      <c r="WYZ37" s="85"/>
      <c r="WZA37" s="85"/>
      <c r="WZB37" s="85"/>
      <c r="WZC37" s="85"/>
      <c r="WZD37" s="85"/>
      <c r="WZE37" s="85"/>
      <c r="WZF37" s="85"/>
      <c r="WZG37" s="85"/>
      <c r="WZH37" s="85"/>
      <c r="WZI37" s="85"/>
      <c r="WZJ37" s="85"/>
      <c r="WZK37" s="85"/>
      <c r="WZL37" s="85"/>
      <c r="WZM37" s="85"/>
      <c r="WZN37" s="85"/>
      <c r="WZO37" s="85"/>
      <c r="WZP37" s="85"/>
      <c r="WZQ37" s="85"/>
      <c r="WZR37" s="85"/>
      <c r="WZS37" s="85"/>
      <c r="WZT37" s="85"/>
      <c r="WZU37" s="85"/>
      <c r="WZV37" s="85"/>
      <c r="WZW37" s="85"/>
      <c r="WZX37" s="85"/>
      <c r="WZY37" s="85"/>
      <c r="WZZ37" s="85"/>
      <c r="XAA37" s="85"/>
      <c r="XAB37" s="85"/>
      <c r="XAC37" s="85"/>
      <c r="XAD37" s="85"/>
      <c r="XAE37" s="85"/>
      <c r="XAF37" s="85"/>
      <c r="XAG37" s="85"/>
      <c r="XAH37" s="85"/>
      <c r="XAI37" s="85"/>
      <c r="XAJ37" s="85"/>
      <c r="XAK37" s="85"/>
      <c r="XAL37" s="85"/>
      <c r="XAM37" s="85"/>
      <c r="XAN37" s="85"/>
      <c r="XAO37" s="85"/>
      <c r="XAP37" s="85"/>
      <c r="XAQ37" s="85"/>
      <c r="XAR37" s="85"/>
      <c r="XAS37" s="85"/>
      <c r="XAT37" s="85"/>
      <c r="XAU37" s="85"/>
      <c r="XAV37" s="85"/>
      <c r="XAW37" s="85"/>
      <c r="XAX37" s="85"/>
      <c r="XAY37" s="85"/>
      <c r="XAZ37" s="85"/>
      <c r="XBA37" s="85"/>
      <c r="XBB37" s="85"/>
      <c r="XBC37" s="85"/>
      <c r="XBD37" s="85"/>
      <c r="XBE37" s="85"/>
      <c r="XBF37" s="85"/>
      <c r="XBG37" s="85"/>
      <c r="XBH37" s="85"/>
      <c r="XBI37" s="85"/>
      <c r="XBJ37" s="85"/>
      <c r="XBK37" s="85"/>
      <c r="XBL37" s="85"/>
      <c r="XBM37" s="85"/>
      <c r="XBN37" s="85"/>
      <c r="XBO37" s="85"/>
      <c r="XBP37" s="85"/>
      <c r="XBQ37" s="85"/>
      <c r="XBR37" s="85"/>
      <c r="XBS37" s="85"/>
      <c r="XBT37" s="85"/>
      <c r="XBU37" s="85"/>
      <c r="XBV37" s="85"/>
      <c r="XBW37" s="85"/>
      <c r="XBX37" s="85"/>
      <c r="XBY37" s="85"/>
      <c r="XBZ37" s="85"/>
      <c r="XCA37" s="85"/>
      <c r="XCB37" s="85"/>
      <c r="XCC37" s="85"/>
      <c r="XCD37" s="85"/>
      <c r="XCE37" s="85"/>
      <c r="XCF37" s="85"/>
      <c r="XCG37" s="85"/>
      <c r="XCH37" s="85"/>
      <c r="XCI37" s="85"/>
      <c r="XCJ37" s="85"/>
      <c r="XCK37" s="85"/>
      <c r="XCL37" s="85"/>
      <c r="XCM37" s="85"/>
      <c r="XCN37" s="85"/>
      <c r="XCO37" s="85"/>
      <c r="XCP37" s="85"/>
      <c r="XCQ37" s="85"/>
      <c r="XCR37" s="85"/>
      <c r="XCS37" s="85"/>
      <c r="XCT37" s="85"/>
      <c r="XCU37" s="85"/>
      <c r="XCV37" s="85"/>
      <c r="XCW37" s="85"/>
      <c r="XCX37" s="85"/>
      <c r="XCY37" s="85"/>
      <c r="XCZ37" s="85"/>
      <c r="XDA37" s="85"/>
      <c r="XDB37" s="85"/>
      <c r="XDC37" s="85"/>
      <c r="XDD37" s="85"/>
      <c r="XDE37" s="85"/>
      <c r="XDF37" s="85"/>
      <c r="XDG37" s="85"/>
      <c r="XDH37" s="85"/>
      <c r="XDI37" s="85"/>
      <c r="XDJ37" s="85"/>
      <c r="XDK37" s="85"/>
      <c r="XDL37" s="85"/>
      <c r="XDM37" s="85"/>
      <c r="XDN37" s="85"/>
      <c r="XDO37" s="85"/>
      <c r="XDP37" s="85"/>
      <c r="XDQ37" s="85"/>
      <c r="XDR37" s="85"/>
      <c r="XDS37" s="85"/>
      <c r="XDT37" s="85"/>
      <c r="XDU37" s="85"/>
      <c r="XDV37" s="85"/>
      <c r="XDW37" s="85"/>
      <c r="XDX37" s="85"/>
      <c r="XDY37" s="85"/>
      <c r="XDZ37" s="85"/>
      <c r="XEA37" s="85"/>
      <c r="XEB37" s="85"/>
      <c r="XEC37" s="85"/>
      <c r="XED37" s="85"/>
      <c r="XEE37" s="85"/>
      <c r="XEF37" s="85"/>
      <c r="XEG37" s="85"/>
      <c r="XEH37" s="85"/>
      <c r="XEI37" s="85"/>
      <c r="XEJ37" s="85"/>
      <c r="XEK37" s="85"/>
      <c r="XEL37" s="85"/>
      <c r="XEM37" s="85"/>
      <c r="XEN37" s="85"/>
      <c r="XEO37" s="85"/>
      <c r="XEP37" s="85"/>
      <c r="XEQ37" s="85"/>
      <c r="XER37" s="85"/>
      <c r="XES37" s="85"/>
      <c r="XET37" s="85"/>
      <c r="XEU37" s="85"/>
      <c r="XEV37" s="85"/>
      <c r="XEW37" s="85"/>
      <c r="XEX37" s="85"/>
      <c r="XEY37" s="85"/>
      <c r="XEZ37" s="85"/>
      <c r="XFA37" s="85"/>
      <c r="XFB37" s="85"/>
      <c r="XFC37" s="85"/>
      <c r="XFD37" s="85"/>
    </row>
    <row r="38" spans="1:16384" s="104" customFormat="1" ht="15" customHeight="1" x14ac:dyDescent="0.2">
      <c r="A38" s="176">
        <v>629.02049999999997</v>
      </c>
      <c r="B38" s="97" t="s">
        <v>172</v>
      </c>
      <c r="C38" s="265">
        <f>RESTORATION!F14</f>
        <v>0.01</v>
      </c>
      <c r="D38" s="99" t="s">
        <v>54</v>
      </c>
      <c r="E38" s="100">
        <v>70</v>
      </c>
      <c r="F38" s="595">
        <v>70</v>
      </c>
      <c r="G38" s="100">
        <f t="shared" si="1"/>
        <v>0.70000000000000007</v>
      </c>
      <c r="H38" s="595">
        <v>0.7</v>
      </c>
      <c r="I38" s="592">
        <f t="shared" si="2"/>
        <v>1.5860328923216522E-16</v>
      </c>
      <c r="J38" s="588" t="s">
        <v>325</v>
      </c>
      <c r="K38" s="95">
        <v>70</v>
      </c>
      <c r="L38" s="96">
        <f t="shared" si="0"/>
        <v>6.2226880664790766E-7</v>
      </c>
      <c r="M38" s="101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85"/>
      <c r="CG38" s="85"/>
      <c r="CH38" s="85"/>
      <c r="CI38" s="85"/>
      <c r="CJ38" s="85"/>
      <c r="CK38" s="85"/>
      <c r="CL38" s="85"/>
      <c r="CM38" s="85"/>
      <c r="CN38" s="85"/>
      <c r="CO38" s="85"/>
      <c r="CP38" s="85"/>
      <c r="CQ38" s="85"/>
      <c r="CR38" s="85"/>
      <c r="CS38" s="85"/>
      <c r="CT38" s="85"/>
      <c r="CU38" s="85"/>
      <c r="CV38" s="85"/>
      <c r="CW38" s="85"/>
      <c r="CX38" s="85"/>
      <c r="CY38" s="85"/>
      <c r="CZ38" s="85"/>
      <c r="DA38" s="85"/>
      <c r="DB38" s="85"/>
      <c r="DC38" s="85"/>
      <c r="DD38" s="85"/>
      <c r="DE38" s="85"/>
      <c r="DF38" s="85"/>
      <c r="DG38" s="85"/>
      <c r="DH38" s="85"/>
      <c r="DI38" s="85"/>
      <c r="DJ38" s="85"/>
      <c r="DK38" s="85"/>
      <c r="DL38" s="85"/>
      <c r="DM38" s="85"/>
      <c r="DN38" s="85"/>
      <c r="DO38" s="85"/>
      <c r="DP38" s="85"/>
      <c r="DQ38" s="85"/>
      <c r="DR38" s="85"/>
      <c r="DS38" s="85"/>
      <c r="DT38" s="85"/>
      <c r="DU38" s="85"/>
      <c r="DV38" s="85"/>
      <c r="DW38" s="85"/>
      <c r="DX38" s="85"/>
      <c r="DY38" s="85"/>
      <c r="DZ38" s="85"/>
      <c r="EA38" s="85"/>
      <c r="EB38" s="85"/>
      <c r="EC38" s="85"/>
      <c r="ED38" s="85"/>
      <c r="EE38" s="85"/>
      <c r="EF38" s="85"/>
      <c r="EG38" s="85"/>
      <c r="EH38" s="85"/>
      <c r="EI38" s="85"/>
      <c r="EJ38" s="85"/>
      <c r="EK38" s="85"/>
      <c r="EL38" s="85"/>
      <c r="EM38" s="85"/>
      <c r="EN38" s="85"/>
      <c r="EO38" s="85"/>
      <c r="EP38" s="85"/>
      <c r="EQ38" s="85"/>
      <c r="ER38" s="85"/>
      <c r="ES38" s="85"/>
      <c r="ET38" s="85"/>
      <c r="EU38" s="85"/>
      <c r="EV38" s="85"/>
      <c r="EW38" s="85"/>
      <c r="EX38" s="85"/>
      <c r="EY38" s="85"/>
      <c r="EZ38" s="85"/>
      <c r="FA38" s="85"/>
      <c r="FB38" s="85"/>
      <c r="FC38" s="85"/>
      <c r="FD38" s="85"/>
      <c r="FE38" s="85"/>
      <c r="FF38" s="85"/>
      <c r="FG38" s="85"/>
      <c r="FH38" s="85"/>
      <c r="FI38" s="85"/>
      <c r="FJ38" s="85"/>
      <c r="FK38" s="85"/>
      <c r="FL38" s="85"/>
      <c r="FM38" s="85"/>
      <c r="FN38" s="85"/>
      <c r="FO38" s="85"/>
      <c r="FP38" s="85"/>
      <c r="FQ38" s="85"/>
      <c r="FR38" s="85"/>
      <c r="FS38" s="85"/>
      <c r="FT38" s="85"/>
      <c r="FU38" s="85"/>
      <c r="FV38" s="85"/>
      <c r="FW38" s="85"/>
      <c r="FX38" s="85"/>
      <c r="FY38" s="85"/>
      <c r="FZ38" s="85"/>
      <c r="GA38" s="85"/>
      <c r="GB38" s="85"/>
      <c r="GC38" s="85"/>
      <c r="GD38" s="85"/>
      <c r="GE38" s="85"/>
      <c r="GF38" s="85"/>
      <c r="GG38" s="85"/>
      <c r="GH38" s="85"/>
      <c r="GI38" s="85"/>
      <c r="GJ38" s="85"/>
      <c r="GK38" s="85"/>
      <c r="GL38" s="85"/>
      <c r="GM38" s="85"/>
      <c r="GN38" s="85"/>
      <c r="GO38" s="85"/>
      <c r="GP38" s="85"/>
      <c r="GQ38" s="85"/>
      <c r="GR38" s="85"/>
      <c r="GS38" s="85"/>
      <c r="GT38" s="85"/>
      <c r="GU38" s="85"/>
      <c r="GV38" s="85"/>
      <c r="GW38" s="85"/>
      <c r="GX38" s="85"/>
      <c r="GY38" s="85"/>
      <c r="GZ38" s="85"/>
      <c r="HA38" s="85"/>
      <c r="HB38" s="85"/>
      <c r="HC38" s="85"/>
      <c r="HD38" s="85"/>
      <c r="HE38" s="85"/>
      <c r="HF38" s="85"/>
      <c r="HG38" s="85"/>
      <c r="HH38" s="85"/>
      <c r="HI38" s="85"/>
      <c r="HJ38" s="85"/>
      <c r="HK38" s="85"/>
      <c r="HL38" s="85"/>
      <c r="HM38" s="85"/>
      <c r="HN38" s="85"/>
      <c r="HO38" s="85"/>
      <c r="HP38" s="85"/>
      <c r="HQ38" s="85"/>
      <c r="HR38" s="85"/>
      <c r="HS38" s="85"/>
      <c r="HT38" s="85"/>
      <c r="HU38" s="85"/>
      <c r="HV38" s="85"/>
      <c r="HW38" s="85"/>
      <c r="HX38" s="85"/>
      <c r="HY38" s="85"/>
      <c r="HZ38" s="85"/>
      <c r="IA38" s="85"/>
      <c r="IB38" s="85"/>
      <c r="IC38" s="85"/>
      <c r="ID38" s="85"/>
      <c r="IE38" s="85"/>
      <c r="IF38" s="85"/>
      <c r="IG38" s="85"/>
      <c r="IH38" s="85"/>
      <c r="II38" s="85"/>
      <c r="IJ38" s="85"/>
      <c r="IK38" s="85"/>
      <c r="IL38" s="85"/>
      <c r="IM38" s="85"/>
      <c r="IN38" s="85"/>
      <c r="IO38" s="85"/>
      <c r="IP38" s="85"/>
      <c r="IQ38" s="85"/>
      <c r="IR38" s="85"/>
      <c r="IS38" s="85"/>
      <c r="IT38" s="85"/>
      <c r="IU38" s="85"/>
      <c r="IV38" s="85"/>
      <c r="IW38" s="85"/>
      <c r="IX38" s="85"/>
      <c r="IY38" s="85"/>
      <c r="IZ38" s="85"/>
      <c r="JA38" s="85"/>
      <c r="JB38" s="85"/>
      <c r="JC38" s="85"/>
      <c r="JD38" s="85"/>
      <c r="JE38" s="85"/>
      <c r="JF38" s="85"/>
      <c r="JG38" s="85"/>
      <c r="JH38" s="85"/>
      <c r="JI38" s="85"/>
      <c r="JJ38" s="85"/>
      <c r="JK38" s="85"/>
      <c r="JL38" s="85"/>
      <c r="JM38" s="85"/>
      <c r="JN38" s="85"/>
      <c r="JO38" s="85"/>
      <c r="JP38" s="85"/>
      <c r="JQ38" s="85"/>
      <c r="JR38" s="85"/>
      <c r="JS38" s="85"/>
      <c r="JT38" s="85"/>
      <c r="JU38" s="85"/>
      <c r="JV38" s="85"/>
      <c r="JW38" s="85"/>
      <c r="JX38" s="85"/>
      <c r="JY38" s="85"/>
      <c r="JZ38" s="85"/>
      <c r="KA38" s="85"/>
      <c r="KB38" s="85"/>
      <c r="KC38" s="85"/>
      <c r="KD38" s="85"/>
      <c r="KE38" s="85"/>
      <c r="KF38" s="85"/>
      <c r="KG38" s="85"/>
      <c r="KH38" s="85"/>
      <c r="KI38" s="85"/>
      <c r="KJ38" s="85"/>
      <c r="KK38" s="85"/>
      <c r="KL38" s="85"/>
      <c r="KM38" s="85"/>
      <c r="KN38" s="85"/>
      <c r="KO38" s="85"/>
      <c r="KP38" s="85"/>
      <c r="KQ38" s="85"/>
      <c r="KR38" s="85"/>
      <c r="KS38" s="85"/>
      <c r="KT38" s="85"/>
      <c r="KU38" s="85"/>
      <c r="KV38" s="85"/>
      <c r="KW38" s="85"/>
      <c r="KX38" s="85"/>
      <c r="KY38" s="85"/>
      <c r="KZ38" s="85"/>
      <c r="LA38" s="85"/>
      <c r="LB38" s="85"/>
      <c r="LC38" s="85"/>
      <c r="LD38" s="85"/>
      <c r="LE38" s="85"/>
      <c r="LF38" s="85"/>
      <c r="LG38" s="85"/>
      <c r="LH38" s="85"/>
      <c r="LI38" s="85"/>
      <c r="LJ38" s="85"/>
      <c r="LK38" s="85"/>
      <c r="LL38" s="85"/>
      <c r="LM38" s="85"/>
      <c r="LN38" s="85"/>
      <c r="LO38" s="85"/>
      <c r="LP38" s="85"/>
      <c r="LQ38" s="85"/>
      <c r="LR38" s="85"/>
      <c r="LS38" s="85"/>
      <c r="LT38" s="85"/>
      <c r="LU38" s="85"/>
      <c r="LV38" s="85"/>
      <c r="LW38" s="85"/>
      <c r="LX38" s="85"/>
      <c r="LY38" s="85"/>
      <c r="LZ38" s="85"/>
      <c r="MA38" s="85"/>
      <c r="MB38" s="85"/>
      <c r="MC38" s="85"/>
      <c r="MD38" s="85"/>
      <c r="ME38" s="85"/>
      <c r="MF38" s="85"/>
      <c r="MG38" s="85"/>
      <c r="MH38" s="85"/>
      <c r="MI38" s="85"/>
      <c r="MJ38" s="85"/>
      <c r="MK38" s="85"/>
      <c r="ML38" s="85"/>
      <c r="MM38" s="85"/>
      <c r="MN38" s="85"/>
      <c r="MO38" s="85"/>
      <c r="MP38" s="85"/>
      <c r="MQ38" s="85"/>
      <c r="MR38" s="85"/>
      <c r="MS38" s="85"/>
      <c r="MT38" s="85"/>
      <c r="MU38" s="85"/>
      <c r="MV38" s="85"/>
      <c r="MW38" s="85"/>
      <c r="MX38" s="85"/>
      <c r="MY38" s="85"/>
      <c r="MZ38" s="85"/>
      <c r="NA38" s="85"/>
      <c r="NB38" s="85"/>
      <c r="NC38" s="85"/>
      <c r="ND38" s="85"/>
      <c r="NE38" s="85"/>
      <c r="NF38" s="85"/>
      <c r="NG38" s="85"/>
      <c r="NH38" s="85"/>
      <c r="NI38" s="85"/>
      <c r="NJ38" s="85"/>
      <c r="NK38" s="85"/>
      <c r="NL38" s="85"/>
      <c r="NM38" s="85"/>
      <c r="NN38" s="85"/>
      <c r="NO38" s="85"/>
      <c r="NP38" s="85"/>
      <c r="NQ38" s="85"/>
      <c r="NR38" s="85"/>
      <c r="NS38" s="85"/>
      <c r="NT38" s="85"/>
      <c r="NU38" s="85"/>
      <c r="NV38" s="85"/>
      <c r="NW38" s="85"/>
      <c r="NX38" s="85"/>
      <c r="NY38" s="85"/>
      <c r="NZ38" s="85"/>
      <c r="OA38" s="85"/>
      <c r="OB38" s="85"/>
      <c r="OC38" s="85"/>
      <c r="OD38" s="85"/>
      <c r="OE38" s="85"/>
      <c r="OF38" s="85"/>
      <c r="OG38" s="85"/>
      <c r="OH38" s="85"/>
      <c r="OI38" s="85"/>
      <c r="OJ38" s="85"/>
      <c r="OK38" s="85"/>
      <c r="OL38" s="85"/>
      <c r="OM38" s="85"/>
      <c r="ON38" s="85"/>
      <c r="OO38" s="85"/>
      <c r="OP38" s="85"/>
      <c r="OQ38" s="85"/>
      <c r="OR38" s="85"/>
      <c r="OS38" s="85"/>
      <c r="OT38" s="85"/>
      <c r="OU38" s="85"/>
      <c r="OV38" s="85"/>
      <c r="OW38" s="85"/>
      <c r="OX38" s="85"/>
      <c r="OY38" s="85"/>
      <c r="OZ38" s="85"/>
      <c r="PA38" s="85"/>
      <c r="PB38" s="85"/>
      <c r="PC38" s="85"/>
      <c r="PD38" s="85"/>
      <c r="PE38" s="85"/>
      <c r="PF38" s="85"/>
      <c r="PG38" s="85"/>
      <c r="PH38" s="85"/>
      <c r="PI38" s="85"/>
      <c r="PJ38" s="85"/>
      <c r="PK38" s="85"/>
      <c r="PL38" s="85"/>
      <c r="PM38" s="85"/>
      <c r="PN38" s="85"/>
      <c r="PO38" s="85"/>
      <c r="PP38" s="85"/>
      <c r="PQ38" s="85"/>
      <c r="PR38" s="85"/>
      <c r="PS38" s="85"/>
      <c r="PT38" s="85"/>
      <c r="PU38" s="85"/>
      <c r="PV38" s="85"/>
      <c r="PW38" s="85"/>
      <c r="PX38" s="85"/>
      <c r="PY38" s="85"/>
      <c r="PZ38" s="85"/>
      <c r="QA38" s="85"/>
      <c r="QB38" s="85"/>
      <c r="QC38" s="85"/>
      <c r="QD38" s="85"/>
      <c r="QE38" s="85"/>
      <c r="QF38" s="85"/>
      <c r="QG38" s="85"/>
      <c r="QH38" s="85"/>
      <c r="QI38" s="85"/>
      <c r="QJ38" s="85"/>
      <c r="QK38" s="85"/>
      <c r="QL38" s="85"/>
      <c r="QM38" s="85"/>
      <c r="QN38" s="85"/>
      <c r="QO38" s="85"/>
      <c r="QP38" s="85"/>
      <c r="QQ38" s="85"/>
      <c r="QR38" s="85"/>
      <c r="QS38" s="85"/>
      <c r="QT38" s="85"/>
      <c r="QU38" s="85"/>
      <c r="QV38" s="85"/>
      <c r="QW38" s="85"/>
      <c r="QX38" s="85"/>
      <c r="QY38" s="85"/>
      <c r="QZ38" s="85"/>
      <c r="RA38" s="85"/>
      <c r="RB38" s="85"/>
      <c r="RC38" s="85"/>
      <c r="RD38" s="85"/>
      <c r="RE38" s="85"/>
      <c r="RF38" s="85"/>
      <c r="RG38" s="85"/>
      <c r="RH38" s="85"/>
      <c r="RI38" s="85"/>
      <c r="RJ38" s="85"/>
      <c r="RK38" s="85"/>
      <c r="RL38" s="85"/>
      <c r="RM38" s="85"/>
      <c r="RN38" s="85"/>
      <c r="RO38" s="85"/>
      <c r="RP38" s="85"/>
      <c r="RQ38" s="85"/>
      <c r="RR38" s="85"/>
      <c r="RS38" s="85"/>
      <c r="RT38" s="85"/>
      <c r="RU38" s="85"/>
      <c r="RV38" s="85"/>
      <c r="RW38" s="85"/>
      <c r="RX38" s="85"/>
      <c r="RY38" s="85"/>
      <c r="RZ38" s="85"/>
      <c r="SA38" s="85"/>
      <c r="SB38" s="85"/>
      <c r="SC38" s="85"/>
      <c r="SD38" s="85"/>
      <c r="SE38" s="85"/>
      <c r="SF38" s="85"/>
      <c r="SG38" s="85"/>
      <c r="SH38" s="85"/>
      <c r="SI38" s="85"/>
      <c r="SJ38" s="85"/>
      <c r="SK38" s="85"/>
      <c r="SL38" s="85"/>
      <c r="SM38" s="85"/>
      <c r="SN38" s="85"/>
      <c r="SO38" s="85"/>
      <c r="SP38" s="85"/>
      <c r="SQ38" s="85"/>
      <c r="SR38" s="85"/>
      <c r="SS38" s="85"/>
      <c r="ST38" s="85"/>
      <c r="SU38" s="85"/>
      <c r="SV38" s="85"/>
      <c r="SW38" s="85"/>
      <c r="SX38" s="85"/>
      <c r="SY38" s="85"/>
      <c r="SZ38" s="85"/>
      <c r="TA38" s="85"/>
      <c r="TB38" s="85"/>
      <c r="TC38" s="85"/>
      <c r="TD38" s="85"/>
      <c r="TE38" s="85"/>
      <c r="TF38" s="85"/>
      <c r="TG38" s="85"/>
      <c r="TH38" s="85"/>
      <c r="TI38" s="85"/>
      <c r="TJ38" s="85"/>
      <c r="TK38" s="85"/>
      <c r="TL38" s="85"/>
      <c r="TM38" s="85"/>
      <c r="TN38" s="85"/>
      <c r="TO38" s="85"/>
      <c r="TP38" s="85"/>
      <c r="TQ38" s="85"/>
      <c r="TR38" s="85"/>
      <c r="TS38" s="85"/>
      <c r="TT38" s="85"/>
      <c r="TU38" s="85"/>
      <c r="TV38" s="85"/>
      <c r="TW38" s="85"/>
      <c r="TX38" s="85"/>
      <c r="TY38" s="85"/>
      <c r="TZ38" s="85"/>
      <c r="UA38" s="85"/>
      <c r="UB38" s="85"/>
      <c r="UC38" s="85"/>
      <c r="UD38" s="85"/>
      <c r="UE38" s="85"/>
      <c r="UF38" s="85"/>
      <c r="UG38" s="85"/>
      <c r="UH38" s="85"/>
      <c r="UI38" s="85"/>
      <c r="UJ38" s="85"/>
      <c r="UK38" s="85"/>
      <c r="UL38" s="85"/>
      <c r="UM38" s="85"/>
      <c r="UN38" s="85"/>
      <c r="UO38" s="85"/>
      <c r="UP38" s="85"/>
      <c r="UQ38" s="85"/>
      <c r="UR38" s="85"/>
      <c r="US38" s="85"/>
      <c r="UT38" s="85"/>
      <c r="UU38" s="85"/>
      <c r="UV38" s="85"/>
      <c r="UW38" s="85"/>
      <c r="UX38" s="85"/>
      <c r="UY38" s="85"/>
      <c r="UZ38" s="85"/>
      <c r="VA38" s="85"/>
      <c r="VB38" s="85"/>
      <c r="VC38" s="85"/>
      <c r="VD38" s="85"/>
      <c r="VE38" s="85"/>
      <c r="VF38" s="85"/>
      <c r="VG38" s="85"/>
      <c r="VH38" s="85"/>
      <c r="VI38" s="85"/>
      <c r="VJ38" s="85"/>
      <c r="VK38" s="85"/>
      <c r="VL38" s="85"/>
      <c r="VM38" s="85"/>
      <c r="VN38" s="85"/>
      <c r="VO38" s="85"/>
      <c r="VP38" s="85"/>
      <c r="VQ38" s="85"/>
      <c r="VR38" s="85"/>
      <c r="VS38" s="85"/>
      <c r="VT38" s="85"/>
      <c r="VU38" s="85"/>
      <c r="VV38" s="85"/>
      <c r="VW38" s="85"/>
      <c r="VX38" s="85"/>
      <c r="VY38" s="85"/>
      <c r="VZ38" s="85"/>
      <c r="WA38" s="85"/>
      <c r="WB38" s="85"/>
      <c r="WC38" s="85"/>
      <c r="WD38" s="85"/>
      <c r="WE38" s="85"/>
      <c r="WF38" s="85"/>
      <c r="WG38" s="85"/>
      <c r="WH38" s="85"/>
      <c r="WI38" s="85"/>
      <c r="WJ38" s="85"/>
      <c r="WK38" s="85"/>
      <c r="WL38" s="85"/>
      <c r="WM38" s="85"/>
      <c r="WN38" s="85"/>
      <c r="WO38" s="85"/>
      <c r="WP38" s="85"/>
      <c r="WQ38" s="85"/>
      <c r="WR38" s="85"/>
      <c r="WS38" s="85"/>
      <c r="WT38" s="85"/>
      <c r="WU38" s="85"/>
      <c r="WV38" s="85"/>
      <c r="WW38" s="85"/>
      <c r="WX38" s="85"/>
      <c r="WY38" s="85"/>
      <c r="WZ38" s="85"/>
      <c r="XA38" s="85"/>
      <c r="XB38" s="85"/>
      <c r="XC38" s="85"/>
      <c r="XD38" s="85"/>
      <c r="XE38" s="85"/>
      <c r="XF38" s="85"/>
      <c r="XG38" s="85"/>
      <c r="XH38" s="85"/>
      <c r="XI38" s="85"/>
      <c r="XJ38" s="85"/>
      <c r="XK38" s="85"/>
      <c r="XL38" s="85"/>
      <c r="XM38" s="85"/>
      <c r="XN38" s="85"/>
      <c r="XO38" s="85"/>
      <c r="XP38" s="85"/>
      <c r="XQ38" s="85"/>
      <c r="XR38" s="85"/>
      <c r="XS38" s="85"/>
      <c r="XT38" s="85"/>
      <c r="XU38" s="85"/>
      <c r="XV38" s="85"/>
      <c r="XW38" s="85"/>
      <c r="XX38" s="85"/>
      <c r="XY38" s="85"/>
      <c r="XZ38" s="85"/>
      <c r="YA38" s="85"/>
      <c r="YB38" s="85"/>
      <c r="YC38" s="85"/>
      <c r="YD38" s="85"/>
      <c r="YE38" s="85"/>
      <c r="YF38" s="85"/>
      <c r="YG38" s="85"/>
      <c r="YH38" s="85"/>
      <c r="YI38" s="85"/>
      <c r="YJ38" s="85"/>
      <c r="YK38" s="85"/>
      <c r="YL38" s="85"/>
      <c r="YM38" s="85"/>
      <c r="YN38" s="85"/>
      <c r="YO38" s="85"/>
      <c r="YP38" s="85"/>
      <c r="YQ38" s="85"/>
      <c r="YR38" s="85"/>
      <c r="YS38" s="85"/>
      <c r="YT38" s="85"/>
      <c r="YU38" s="85"/>
      <c r="YV38" s="85"/>
      <c r="YW38" s="85"/>
      <c r="YX38" s="85"/>
      <c r="YY38" s="85"/>
      <c r="YZ38" s="85"/>
      <c r="ZA38" s="85"/>
      <c r="ZB38" s="85"/>
      <c r="ZC38" s="85"/>
      <c r="ZD38" s="85"/>
      <c r="ZE38" s="85"/>
      <c r="ZF38" s="85"/>
      <c r="ZG38" s="85"/>
      <c r="ZH38" s="85"/>
      <c r="ZI38" s="85"/>
      <c r="ZJ38" s="85"/>
      <c r="ZK38" s="85"/>
      <c r="ZL38" s="85"/>
      <c r="ZM38" s="85"/>
      <c r="ZN38" s="85"/>
      <c r="ZO38" s="85"/>
      <c r="ZP38" s="85"/>
      <c r="ZQ38" s="85"/>
      <c r="ZR38" s="85"/>
      <c r="ZS38" s="85"/>
      <c r="ZT38" s="85"/>
      <c r="ZU38" s="85"/>
      <c r="ZV38" s="85"/>
      <c r="ZW38" s="85"/>
      <c r="ZX38" s="85"/>
      <c r="ZY38" s="85"/>
      <c r="ZZ38" s="85"/>
      <c r="AAA38" s="85"/>
      <c r="AAB38" s="85"/>
      <c r="AAC38" s="85"/>
      <c r="AAD38" s="85"/>
      <c r="AAE38" s="85"/>
      <c r="AAF38" s="85"/>
      <c r="AAG38" s="85"/>
      <c r="AAH38" s="85"/>
      <c r="AAI38" s="85"/>
      <c r="AAJ38" s="85"/>
      <c r="AAK38" s="85"/>
      <c r="AAL38" s="85"/>
      <c r="AAM38" s="85"/>
      <c r="AAN38" s="85"/>
      <c r="AAO38" s="85"/>
      <c r="AAP38" s="85"/>
      <c r="AAQ38" s="85"/>
      <c r="AAR38" s="85"/>
      <c r="AAS38" s="85"/>
      <c r="AAT38" s="85"/>
      <c r="AAU38" s="85"/>
      <c r="AAV38" s="85"/>
      <c r="AAW38" s="85"/>
      <c r="AAX38" s="85"/>
      <c r="AAY38" s="85"/>
      <c r="AAZ38" s="85"/>
      <c r="ABA38" s="85"/>
      <c r="ABB38" s="85"/>
      <c r="ABC38" s="85"/>
      <c r="ABD38" s="85"/>
      <c r="ABE38" s="85"/>
      <c r="ABF38" s="85"/>
      <c r="ABG38" s="85"/>
      <c r="ABH38" s="85"/>
      <c r="ABI38" s="85"/>
      <c r="ABJ38" s="85"/>
      <c r="ABK38" s="85"/>
      <c r="ABL38" s="85"/>
      <c r="ABM38" s="85"/>
      <c r="ABN38" s="85"/>
      <c r="ABO38" s="85"/>
      <c r="ABP38" s="85"/>
      <c r="ABQ38" s="85"/>
      <c r="ABR38" s="85"/>
      <c r="ABS38" s="85"/>
      <c r="ABT38" s="85"/>
      <c r="ABU38" s="85"/>
      <c r="ABV38" s="85"/>
      <c r="ABW38" s="85"/>
      <c r="ABX38" s="85"/>
      <c r="ABY38" s="85"/>
      <c r="ABZ38" s="85"/>
      <c r="ACA38" s="85"/>
      <c r="ACB38" s="85"/>
      <c r="ACC38" s="85"/>
      <c r="ACD38" s="85"/>
      <c r="ACE38" s="85"/>
      <c r="ACF38" s="85"/>
      <c r="ACG38" s="85"/>
      <c r="ACH38" s="85"/>
      <c r="ACI38" s="85"/>
      <c r="ACJ38" s="85"/>
      <c r="ACK38" s="85"/>
      <c r="ACL38" s="85"/>
      <c r="ACM38" s="85"/>
      <c r="ACN38" s="85"/>
      <c r="ACO38" s="85"/>
      <c r="ACP38" s="85"/>
      <c r="ACQ38" s="85"/>
      <c r="ACR38" s="85"/>
      <c r="ACS38" s="85"/>
      <c r="ACT38" s="85"/>
      <c r="ACU38" s="85"/>
      <c r="ACV38" s="85"/>
      <c r="ACW38" s="85"/>
      <c r="ACX38" s="85"/>
      <c r="ACY38" s="85"/>
      <c r="ACZ38" s="85"/>
      <c r="ADA38" s="85"/>
      <c r="ADB38" s="85"/>
      <c r="ADC38" s="85"/>
      <c r="ADD38" s="85"/>
      <c r="ADE38" s="85"/>
      <c r="ADF38" s="85"/>
      <c r="ADG38" s="85"/>
      <c r="ADH38" s="85"/>
      <c r="ADI38" s="85"/>
      <c r="ADJ38" s="85"/>
      <c r="ADK38" s="85"/>
      <c r="ADL38" s="85"/>
      <c r="ADM38" s="85"/>
      <c r="ADN38" s="85"/>
      <c r="ADO38" s="85"/>
      <c r="ADP38" s="85"/>
      <c r="ADQ38" s="85"/>
      <c r="ADR38" s="85"/>
      <c r="ADS38" s="85"/>
      <c r="ADT38" s="85"/>
      <c r="ADU38" s="85"/>
      <c r="ADV38" s="85"/>
      <c r="ADW38" s="85"/>
      <c r="ADX38" s="85"/>
      <c r="ADY38" s="85"/>
      <c r="ADZ38" s="85"/>
      <c r="AEA38" s="85"/>
      <c r="AEB38" s="85"/>
      <c r="AEC38" s="85"/>
      <c r="AED38" s="85"/>
      <c r="AEE38" s="85"/>
      <c r="AEF38" s="85"/>
      <c r="AEG38" s="85"/>
      <c r="AEH38" s="85"/>
      <c r="AEI38" s="85"/>
      <c r="AEJ38" s="85"/>
      <c r="AEK38" s="85"/>
      <c r="AEL38" s="85"/>
      <c r="AEM38" s="85"/>
      <c r="AEN38" s="85"/>
      <c r="AEO38" s="85"/>
      <c r="AEP38" s="85"/>
      <c r="AEQ38" s="85"/>
      <c r="AER38" s="85"/>
      <c r="AES38" s="85"/>
      <c r="AET38" s="85"/>
      <c r="AEU38" s="85"/>
      <c r="AEV38" s="85"/>
      <c r="AEW38" s="85"/>
      <c r="AEX38" s="85"/>
      <c r="AEY38" s="85"/>
      <c r="AEZ38" s="85"/>
      <c r="AFA38" s="85"/>
      <c r="AFB38" s="85"/>
      <c r="AFC38" s="85"/>
      <c r="AFD38" s="85"/>
      <c r="AFE38" s="85"/>
      <c r="AFF38" s="85"/>
      <c r="AFG38" s="85"/>
      <c r="AFH38" s="85"/>
      <c r="AFI38" s="85"/>
      <c r="AFJ38" s="85"/>
      <c r="AFK38" s="85"/>
      <c r="AFL38" s="85"/>
      <c r="AFM38" s="85"/>
      <c r="AFN38" s="85"/>
      <c r="AFO38" s="85"/>
      <c r="AFP38" s="85"/>
      <c r="AFQ38" s="85"/>
      <c r="AFR38" s="85"/>
      <c r="AFS38" s="85"/>
      <c r="AFT38" s="85"/>
      <c r="AFU38" s="85"/>
      <c r="AFV38" s="85"/>
      <c r="AFW38" s="85"/>
      <c r="AFX38" s="85"/>
      <c r="AFY38" s="85"/>
      <c r="AFZ38" s="85"/>
      <c r="AGA38" s="85"/>
      <c r="AGB38" s="85"/>
      <c r="AGC38" s="85"/>
      <c r="AGD38" s="85"/>
      <c r="AGE38" s="85"/>
      <c r="AGF38" s="85"/>
      <c r="AGG38" s="85"/>
      <c r="AGH38" s="85"/>
      <c r="AGI38" s="85"/>
      <c r="AGJ38" s="85"/>
      <c r="AGK38" s="85"/>
      <c r="AGL38" s="85"/>
      <c r="AGM38" s="85"/>
      <c r="AGN38" s="85"/>
      <c r="AGO38" s="85"/>
      <c r="AGP38" s="85"/>
      <c r="AGQ38" s="85"/>
      <c r="AGR38" s="85"/>
      <c r="AGS38" s="85"/>
      <c r="AGT38" s="85"/>
      <c r="AGU38" s="85"/>
      <c r="AGV38" s="85"/>
      <c r="AGW38" s="85"/>
      <c r="AGX38" s="85"/>
      <c r="AGY38" s="85"/>
      <c r="AGZ38" s="85"/>
      <c r="AHA38" s="85"/>
      <c r="AHB38" s="85"/>
      <c r="AHC38" s="85"/>
      <c r="AHD38" s="85"/>
      <c r="AHE38" s="85"/>
      <c r="AHF38" s="85"/>
      <c r="AHG38" s="85"/>
      <c r="AHH38" s="85"/>
      <c r="AHI38" s="85"/>
      <c r="AHJ38" s="85"/>
      <c r="AHK38" s="85"/>
      <c r="AHL38" s="85"/>
      <c r="AHM38" s="85"/>
      <c r="AHN38" s="85"/>
      <c r="AHO38" s="85"/>
      <c r="AHP38" s="85"/>
      <c r="AHQ38" s="85"/>
      <c r="AHR38" s="85"/>
      <c r="AHS38" s="85"/>
      <c r="AHT38" s="85"/>
      <c r="AHU38" s="85"/>
      <c r="AHV38" s="85"/>
      <c r="AHW38" s="85"/>
      <c r="AHX38" s="85"/>
      <c r="AHY38" s="85"/>
      <c r="AHZ38" s="85"/>
      <c r="AIA38" s="85"/>
      <c r="AIB38" s="85"/>
      <c r="AIC38" s="85"/>
      <c r="AID38" s="85"/>
      <c r="AIE38" s="85"/>
      <c r="AIF38" s="85"/>
      <c r="AIG38" s="85"/>
      <c r="AIH38" s="85"/>
      <c r="AII38" s="85"/>
      <c r="AIJ38" s="85"/>
      <c r="AIK38" s="85"/>
      <c r="AIL38" s="85"/>
      <c r="AIM38" s="85"/>
      <c r="AIN38" s="85"/>
      <c r="AIO38" s="85"/>
      <c r="AIP38" s="85"/>
      <c r="AIQ38" s="85"/>
      <c r="AIR38" s="85"/>
      <c r="AIS38" s="85"/>
      <c r="AIT38" s="85"/>
      <c r="AIU38" s="85"/>
      <c r="AIV38" s="85"/>
      <c r="AIW38" s="85"/>
      <c r="AIX38" s="85"/>
      <c r="AIY38" s="85"/>
      <c r="AIZ38" s="85"/>
      <c r="AJA38" s="85"/>
      <c r="AJB38" s="85"/>
      <c r="AJC38" s="85"/>
      <c r="AJD38" s="85"/>
      <c r="AJE38" s="85"/>
      <c r="AJF38" s="85"/>
      <c r="AJG38" s="85"/>
      <c r="AJH38" s="85"/>
      <c r="AJI38" s="85"/>
      <c r="AJJ38" s="85"/>
      <c r="AJK38" s="85"/>
      <c r="AJL38" s="85"/>
      <c r="AJM38" s="85"/>
      <c r="AJN38" s="85"/>
      <c r="AJO38" s="85"/>
      <c r="AJP38" s="85"/>
      <c r="AJQ38" s="85"/>
      <c r="AJR38" s="85"/>
      <c r="AJS38" s="85"/>
      <c r="AJT38" s="85"/>
      <c r="AJU38" s="85"/>
      <c r="AJV38" s="85"/>
      <c r="AJW38" s="85"/>
      <c r="AJX38" s="85"/>
      <c r="AJY38" s="85"/>
      <c r="AJZ38" s="85"/>
      <c r="AKA38" s="85"/>
      <c r="AKB38" s="85"/>
      <c r="AKC38" s="85"/>
      <c r="AKD38" s="85"/>
      <c r="AKE38" s="85"/>
      <c r="AKF38" s="85"/>
      <c r="AKG38" s="85"/>
      <c r="AKH38" s="85"/>
      <c r="AKI38" s="85"/>
      <c r="AKJ38" s="85"/>
      <c r="AKK38" s="85"/>
      <c r="AKL38" s="85"/>
      <c r="AKM38" s="85"/>
      <c r="AKN38" s="85"/>
      <c r="AKO38" s="85"/>
      <c r="AKP38" s="85"/>
      <c r="AKQ38" s="85"/>
      <c r="AKR38" s="85"/>
      <c r="AKS38" s="85"/>
      <c r="AKT38" s="85"/>
      <c r="AKU38" s="85"/>
      <c r="AKV38" s="85"/>
      <c r="AKW38" s="85"/>
      <c r="AKX38" s="85"/>
      <c r="AKY38" s="85"/>
      <c r="AKZ38" s="85"/>
      <c r="ALA38" s="85"/>
      <c r="ALB38" s="85"/>
      <c r="ALC38" s="85"/>
      <c r="ALD38" s="85"/>
      <c r="ALE38" s="85"/>
      <c r="ALF38" s="85"/>
      <c r="ALG38" s="85"/>
      <c r="ALH38" s="85"/>
      <c r="ALI38" s="85"/>
      <c r="ALJ38" s="85"/>
      <c r="ALK38" s="85"/>
      <c r="ALL38" s="85"/>
      <c r="ALM38" s="85"/>
      <c r="ALN38" s="85"/>
      <c r="ALO38" s="85"/>
      <c r="ALP38" s="85"/>
      <c r="ALQ38" s="85"/>
      <c r="ALR38" s="85"/>
      <c r="ALS38" s="85"/>
      <c r="ALT38" s="85"/>
      <c r="ALU38" s="85"/>
      <c r="ALV38" s="85"/>
      <c r="ALW38" s="85"/>
      <c r="ALX38" s="85"/>
      <c r="ALY38" s="85"/>
      <c r="ALZ38" s="85"/>
      <c r="AMA38" s="85"/>
      <c r="AMB38" s="85"/>
      <c r="AMC38" s="85"/>
      <c r="AMD38" s="85"/>
      <c r="AME38" s="85"/>
      <c r="AMF38" s="85"/>
      <c r="AMG38" s="85"/>
      <c r="AMH38" s="85"/>
      <c r="AMI38" s="85"/>
      <c r="AMJ38" s="85"/>
      <c r="AMK38" s="85"/>
      <c r="AML38" s="85"/>
      <c r="AMM38" s="85"/>
      <c r="AMN38" s="85"/>
      <c r="AMO38" s="85"/>
      <c r="AMP38" s="85"/>
      <c r="AMQ38" s="85"/>
      <c r="AMR38" s="85"/>
      <c r="AMS38" s="85"/>
      <c r="AMT38" s="85"/>
      <c r="AMU38" s="85"/>
      <c r="AMV38" s="85"/>
      <c r="AMW38" s="85"/>
      <c r="AMX38" s="85"/>
      <c r="AMY38" s="85"/>
      <c r="AMZ38" s="85"/>
      <c r="ANA38" s="85"/>
      <c r="ANB38" s="85"/>
      <c r="ANC38" s="85"/>
      <c r="AND38" s="85"/>
      <c r="ANE38" s="85"/>
      <c r="ANF38" s="85"/>
      <c r="ANG38" s="85"/>
      <c r="ANH38" s="85"/>
      <c r="ANI38" s="85"/>
      <c r="ANJ38" s="85"/>
      <c r="ANK38" s="85"/>
      <c r="ANL38" s="85"/>
      <c r="ANM38" s="85"/>
      <c r="ANN38" s="85"/>
      <c r="ANO38" s="85"/>
      <c r="ANP38" s="85"/>
      <c r="ANQ38" s="85"/>
      <c r="ANR38" s="85"/>
      <c r="ANS38" s="85"/>
      <c r="ANT38" s="85"/>
      <c r="ANU38" s="85"/>
      <c r="ANV38" s="85"/>
      <c r="ANW38" s="85"/>
      <c r="ANX38" s="85"/>
      <c r="ANY38" s="85"/>
      <c r="ANZ38" s="85"/>
      <c r="AOA38" s="85"/>
      <c r="AOB38" s="85"/>
      <c r="AOC38" s="85"/>
      <c r="AOD38" s="85"/>
      <c r="AOE38" s="85"/>
      <c r="AOF38" s="85"/>
      <c r="AOG38" s="85"/>
      <c r="AOH38" s="85"/>
      <c r="AOI38" s="85"/>
      <c r="AOJ38" s="85"/>
      <c r="AOK38" s="85"/>
      <c r="AOL38" s="85"/>
      <c r="AOM38" s="85"/>
      <c r="AON38" s="85"/>
      <c r="AOO38" s="85"/>
      <c r="AOP38" s="85"/>
      <c r="AOQ38" s="85"/>
      <c r="AOR38" s="85"/>
      <c r="AOS38" s="85"/>
      <c r="AOT38" s="85"/>
      <c r="AOU38" s="85"/>
      <c r="AOV38" s="85"/>
      <c r="AOW38" s="85"/>
      <c r="AOX38" s="85"/>
      <c r="AOY38" s="85"/>
      <c r="AOZ38" s="85"/>
      <c r="APA38" s="85"/>
      <c r="APB38" s="85"/>
      <c r="APC38" s="85"/>
      <c r="APD38" s="85"/>
      <c r="APE38" s="85"/>
      <c r="APF38" s="85"/>
      <c r="APG38" s="85"/>
      <c r="APH38" s="85"/>
      <c r="API38" s="85"/>
      <c r="APJ38" s="85"/>
      <c r="APK38" s="85"/>
      <c r="APL38" s="85"/>
      <c r="APM38" s="85"/>
      <c r="APN38" s="85"/>
      <c r="APO38" s="85"/>
      <c r="APP38" s="85"/>
      <c r="APQ38" s="85"/>
      <c r="APR38" s="85"/>
      <c r="APS38" s="85"/>
      <c r="APT38" s="85"/>
      <c r="APU38" s="85"/>
      <c r="APV38" s="85"/>
      <c r="APW38" s="85"/>
      <c r="APX38" s="85"/>
      <c r="APY38" s="85"/>
      <c r="APZ38" s="85"/>
      <c r="AQA38" s="85"/>
      <c r="AQB38" s="85"/>
      <c r="AQC38" s="85"/>
      <c r="AQD38" s="85"/>
      <c r="AQE38" s="85"/>
      <c r="AQF38" s="85"/>
      <c r="AQG38" s="85"/>
      <c r="AQH38" s="85"/>
      <c r="AQI38" s="85"/>
      <c r="AQJ38" s="85"/>
      <c r="AQK38" s="85"/>
      <c r="AQL38" s="85"/>
      <c r="AQM38" s="85"/>
      <c r="AQN38" s="85"/>
      <c r="AQO38" s="85"/>
      <c r="AQP38" s="85"/>
      <c r="AQQ38" s="85"/>
      <c r="AQR38" s="85"/>
      <c r="AQS38" s="85"/>
      <c r="AQT38" s="85"/>
      <c r="AQU38" s="85"/>
      <c r="AQV38" s="85"/>
      <c r="AQW38" s="85"/>
      <c r="AQX38" s="85"/>
      <c r="AQY38" s="85"/>
      <c r="AQZ38" s="85"/>
      <c r="ARA38" s="85"/>
      <c r="ARB38" s="85"/>
      <c r="ARC38" s="85"/>
      <c r="ARD38" s="85"/>
      <c r="ARE38" s="85"/>
      <c r="ARF38" s="85"/>
      <c r="ARG38" s="85"/>
      <c r="ARH38" s="85"/>
      <c r="ARI38" s="85"/>
      <c r="ARJ38" s="85"/>
      <c r="ARK38" s="85"/>
      <c r="ARL38" s="85"/>
      <c r="ARM38" s="85"/>
      <c r="ARN38" s="85"/>
      <c r="ARO38" s="85"/>
      <c r="ARP38" s="85"/>
      <c r="ARQ38" s="85"/>
      <c r="ARR38" s="85"/>
      <c r="ARS38" s="85"/>
      <c r="ART38" s="85"/>
      <c r="ARU38" s="85"/>
      <c r="ARV38" s="85"/>
      <c r="ARW38" s="85"/>
      <c r="ARX38" s="85"/>
      <c r="ARY38" s="85"/>
      <c r="ARZ38" s="85"/>
      <c r="ASA38" s="85"/>
      <c r="ASB38" s="85"/>
      <c r="ASC38" s="85"/>
      <c r="ASD38" s="85"/>
      <c r="ASE38" s="85"/>
      <c r="ASF38" s="85"/>
      <c r="ASG38" s="85"/>
      <c r="ASH38" s="85"/>
      <c r="ASI38" s="85"/>
      <c r="ASJ38" s="85"/>
      <c r="ASK38" s="85"/>
      <c r="ASL38" s="85"/>
      <c r="ASM38" s="85"/>
      <c r="ASN38" s="85"/>
      <c r="ASO38" s="85"/>
      <c r="ASP38" s="85"/>
      <c r="ASQ38" s="85"/>
      <c r="ASR38" s="85"/>
      <c r="ASS38" s="85"/>
      <c r="AST38" s="85"/>
      <c r="ASU38" s="85"/>
      <c r="ASV38" s="85"/>
      <c r="ASW38" s="85"/>
      <c r="ASX38" s="85"/>
      <c r="ASY38" s="85"/>
      <c r="ASZ38" s="85"/>
      <c r="ATA38" s="85"/>
      <c r="ATB38" s="85"/>
      <c r="ATC38" s="85"/>
      <c r="ATD38" s="85"/>
      <c r="ATE38" s="85"/>
      <c r="ATF38" s="85"/>
      <c r="ATG38" s="85"/>
      <c r="ATH38" s="85"/>
      <c r="ATI38" s="85"/>
      <c r="ATJ38" s="85"/>
      <c r="ATK38" s="85"/>
      <c r="ATL38" s="85"/>
      <c r="ATM38" s="85"/>
      <c r="ATN38" s="85"/>
      <c r="ATO38" s="85"/>
      <c r="ATP38" s="85"/>
      <c r="ATQ38" s="85"/>
      <c r="ATR38" s="85"/>
      <c r="ATS38" s="85"/>
      <c r="ATT38" s="85"/>
      <c r="ATU38" s="85"/>
      <c r="ATV38" s="85"/>
      <c r="ATW38" s="85"/>
      <c r="ATX38" s="85"/>
      <c r="ATY38" s="85"/>
      <c r="ATZ38" s="85"/>
      <c r="AUA38" s="85"/>
      <c r="AUB38" s="85"/>
      <c r="AUC38" s="85"/>
      <c r="AUD38" s="85"/>
      <c r="AUE38" s="85"/>
      <c r="AUF38" s="85"/>
      <c r="AUG38" s="85"/>
      <c r="AUH38" s="85"/>
      <c r="AUI38" s="85"/>
      <c r="AUJ38" s="85"/>
      <c r="AUK38" s="85"/>
      <c r="AUL38" s="85"/>
      <c r="AUM38" s="85"/>
      <c r="AUN38" s="85"/>
      <c r="AUO38" s="85"/>
      <c r="AUP38" s="85"/>
      <c r="AUQ38" s="85"/>
      <c r="AUR38" s="85"/>
      <c r="AUS38" s="85"/>
      <c r="AUT38" s="85"/>
      <c r="AUU38" s="85"/>
      <c r="AUV38" s="85"/>
      <c r="AUW38" s="85"/>
      <c r="AUX38" s="85"/>
      <c r="AUY38" s="85"/>
      <c r="AUZ38" s="85"/>
      <c r="AVA38" s="85"/>
      <c r="AVB38" s="85"/>
      <c r="AVC38" s="85"/>
      <c r="AVD38" s="85"/>
      <c r="AVE38" s="85"/>
      <c r="AVF38" s="85"/>
      <c r="AVG38" s="85"/>
      <c r="AVH38" s="85"/>
      <c r="AVI38" s="85"/>
      <c r="AVJ38" s="85"/>
      <c r="AVK38" s="85"/>
      <c r="AVL38" s="85"/>
      <c r="AVM38" s="85"/>
      <c r="AVN38" s="85"/>
      <c r="AVO38" s="85"/>
      <c r="AVP38" s="85"/>
      <c r="AVQ38" s="85"/>
      <c r="AVR38" s="85"/>
      <c r="AVS38" s="85"/>
      <c r="AVT38" s="85"/>
      <c r="AVU38" s="85"/>
      <c r="AVV38" s="85"/>
      <c r="AVW38" s="85"/>
      <c r="AVX38" s="85"/>
      <c r="AVY38" s="85"/>
      <c r="AVZ38" s="85"/>
      <c r="AWA38" s="85"/>
      <c r="AWB38" s="85"/>
      <c r="AWC38" s="85"/>
      <c r="AWD38" s="85"/>
      <c r="AWE38" s="85"/>
      <c r="AWF38" s="85"/>
      <c r="AWG38" s="85"/>
      <c r="AWH38" s="85"/>
      <c r="AWI38" s="85"/>
      <c r="AWJ38" s="85"/>
      <c r="AWK38" s="85"/>
      <c r="AWL38" s="85"/>
      <c r="AWM38" s="85"/>
      <c r="AWN38" s="85"/>
      <c r="AWO38" s="85"/>
      <c r="AWP38" s="85"/>
      <c r="AWQ38" s="85"/>
      <c r="AWR38" s="85"/>
      <c r="AWS38" s="85"/>
      <c r="AWT38" s="85"/>
      <c r="AWU38" s="85"/>
      <c r="AWV38" s="85"/>
      <c r="AWW38" s="85"/>
      <c r="AWX38" s="85"/>
      <c r="AWY38" s="85"/>
      <c r="AWZ38" s="85"/>
      <c r="AXA38" s="85"/>
      <c r="AXB38" s="85"/>
      <c r="AXC38" s="85"/>
      <c r="AXD38" s="85"/>
      <c r="AXE38" s="85"/>
      <c r="AXF38" s="85"/>
      <c r="AXG38" s="85"/>
      <c r="AXH38" s="85"/>
      <c r="AXI38" s="85"/>
      <c r="AXJ38" s="85"/>
      <c r="AXK38" s="85"/>
      <c r="AXL38" s="85"/>
      <c r="AXM38" s="85"/>
      <c r="AXN38" s="85"/>
      <c r="AXO38" s="85"/>
      <c r="AXP38" s="85"/>
      <c r="AXQ38" s="85"/>
      <c r="AXR38" s="85"/>
      <c r="AXS38" s="85"/>
      <c r="AXT38" s="85"/>
      <c r="AXU38" s="85"/>
      <c r="AXV38" s="85"/>
      <c r="AXW38" s="85"/>
      <c r="AXX38" s="85"/>
      <c r="AXY38" s="85"/>
      <c r="AXZ38" s="85"/>
      <c r="AYA38" s="85"/>
      <c r="AYB38" s="85"/>
      <c r="AYC38" s="85"/>
      <c r="AYD38" s="85"/>
      <c r="AYE38" s="85"/>
      <c r="AYF38" s="85"/>
      <c r="AYG38" s="85"/>
      <c r="AYH38" s="85"/>
      <c r="AYI38" s="85"/>
      <c r="AYJ38" s="85"/>
      <c r="AYK38" s="85"/>
      <c r="AYL38" s="85"/>
      <c r="AYM38" s="85"/>
      <c r="AYN38" s="85"/>
      <c r="AYO38" s="85"/>
      <c r="AYP38" s="85"/>
      <c r="AYQ38" s="85"/>
      <c r="AYR38" s="85"/>
      <c r="AYS38" s="85"/>
      <c r="AYT38" s="85"/>
      <c r="AYU38" s="85"/>
      <c r="AYV38" s="85"/>
      <c r="AYW38" s="85"/>
      <c r="AYX38" s="85"/>
      <c r="AYY38" s="85"/>
      <c r="AYZ38" s="85"/>
      <c r="AZA38" s="85"/>
      <c r="AZB38" s="85"/>
      <c r="AZC38" s="85"/>
      <c r="AZD38" s="85"/>
      <c r="AZE38" s="85"/>
      <c r="AZF38" s="85"/>
      <c r="AZG38" s="85"/>
      <c r="AZH38" s="85"/>
      <c r="AZI38" s="85"/>
      <c r="AZJ38" s="85"/>
      <c r="AZK38" s="85"/>
      <c r="AZL38" s="85"/>
      <c r="AZM38" s="85"/>
      <c r="AZN38" s="85"/>
      <c r="AZO38" s="85"/>
      <c r="AZP38" s="85"/>
      <c r="AZQ38" s="85"/>
      <c r="AZR38" s="85"/>
      <c r="AZS38" s="85"/>
      <c r="AZT38" s="85"/>
      <c r="AZU38" s="85"/>
      <c r="AZV38" s="85"/>
      <c r="AZW38" s="85"/>
      <c r="AZX38" s="85"/>
      <c r="AZY38" s="85"/>
      <c r="AZZ38" s="85"/>
      <c r="BAA38" s="85"/>
      <c r="BAB38" s="85"/>
      <c r="BAC38" s="85"/>
      <c r="BAD38" s="85"/>
      <c r="BAE38" s="85"/>
      <c r="BAF38" s="85"/>
      <c r="BAG38" s="85"/>
      <c r="BAH38" s="85"/>
      <c r="BAI38" s="85"/>
      <c r="BAJ38" s="85"/>
      <c r="BAK38" s="85"/>
      <c r="BAL38" s="85"/>
      <c r="BAM38" s="85"/>
      <c r="BAN38" s="85"/>
      <c r="BAO38" s="85"/>
      <c r="BAP38" s="85"/>
      <c r="BAQ38" s="85"/>
      <c r="BAR38" s="85"/>
      <c r="BAS38" s="85"/>
      <c r="BAT38" s="85"/>
      <c r="BAU38" s="85"/>
      <c r="BAV38" s="85"/>
      <c r="BAW38" s="85"/>
      <c r="BAX38" s="85"/>
      <c r="BAY38" s="85"/>
      <c r="BAZ38" s="85"/>
      <c r="BBA38" s="85"/>
      <c r="BBB38" s="85"/>
      <c r="BBC38" s="85"/>
      <c r="BBD38" s="85"/>
      <c r="BBE38" s="85"/>
      <c r="BBF38" s="85"/>
      <c r="BBG38" s="85"/>
      <c r="BBH38" s="85"/>
      <c r="BBI38" s="85"/>
      <c r="BBJ38" s="85"/>
      <c r="BBK38" s="85"/>
      <c r="BBL38" s="85"/>
      <c r="BBM38" s="85"/>
      <c r="BBN38" s="85"/>
      <c r="BBO38" s="85"/>
      <c r="BBP38" s="85"/>
      <c r="BBQ38" s="85"/>
      <c r="BBR38" s="85"/>
      <c r="BBS38" s="85"/>
      <c r="BBT38" s="85"/>
      <c r="BBU38" s="85"/>
      <c r="BBV38" s="85"/>
      <c r="BBW38" s="85"/>
      <c r="BBX38" s="85"/>
      <c r="BBY38" s="85"/>
      <c r="BBZ38" s="85"/>
      <c r="BCA38" s="85"/>
      <c r="BCB38" s="85"/>
      <c r="BCC38" s="85"/>
      <c r="BCD38" s="85"/>
      <c r="BCE38" s="85"/>
      <c r="BCF38" s="85"/>
      <c r="BCG38" s="85"/>
      <c r="BCH38" s="85"/>
      <c r="BCI38" s="85"/>
      <c r="BCJ38" s="85"/>
      <c r="BCK38" s="85"/>
      <c r="BCL38" s="85"/>
      <c r="BCM38" s="85"/>
      <c r="BCN38" s="85"/>
      <c r="BCO38" s="85"/>
      <c r="BCP38" s="85"/>
      <c r="BCQ38" s="85"/>
      <c r="BCR38" s="85"/>
      <c r="BCS38" s="85"/>
      <c r="BCT38" s="85"/>
      <c r="BCU38" s="85"/>
      <c r="BCV38" s="85"/>
      <c r="BCW38" s="85"/>
      <c r="BCX38" s="85"/>
      <c r="BCY38" s="85"/>
      <c r="BCZ38" s="85"/>
      <c r="BDA38" s="85"/>
      <c r="BDB38" s="85"/>
      <c r="BDC38" s="85"/>
      <c r="BDD38" s="85"/>
      <c r="BDE38" s="85"/>
      <c r="BDF38" s="85"/>
      <c r="BDG38" s="85"/>
      <c r="BDH38" s="85"/>
      <c r="BDI38" s="85"/>
      <c r="BDJ38" s="85"/>
      <c r="BDK38" s="85"/>
      <c r="BDL38" s="85"/>
      <c r="BDM38" s="85"/>
      <c r="BDN38" s="85"/>
      <c r="BDO38" s="85"/>
      <c r="BDP38" s="85"/>
      <c r="BDQ38" s="85"/>
      <c r="BDR38" s="85"/>
      <c r="BDS38" s="85"/>
      <c r="BDT38" s="85"/>
      <c r="BDU38" s="85"/>
      <c r="BDV38" s="85"/>
      <c r="BDW38" s="85"/>
      <c r="BDX38" s="85"/>
      <c r="BDY38" s="85"/>
      <c r="BDZ38" s="85"/>
      <c r="BEA38" s="85"/>
      <c r="BEB38" s="85"/>
      <c r="BEC38" s="85"/>
      <c r="BED38" s="85"/>
      <c r="BEE38" s="85"/>
      <c r="BEF38" s="85"/>
      <c r="BEG38" s="85"/>
      <c r="BEH38" s="85"/>
      <c r="BEI38" s="85"/>
      <c r="BEJ38" s="85"/>
      <c r="BEK38" s="85"/>
      <c r="BEL38" s="85"/>
      <c r="BEM38" s="85"/>
      <c r="BEN38" s="85"/>
      <c r="BEO38" s="85"/>
      <c r="BEP38" s="85"/>
      <c r="BEQ38" s="85"/>
      <c r="BER38" s="85"/>
      <c r="BES38" s="85"/>
      <c r="BET38" s="85"/>
      <c r="BEU38" s="85"/>
      <c r="BEV38" s="85"/>
      <c r="BEW38" s="85"/>
      <c r="BEX38" s="85"/>
      <c r="BEY38" s="85"/>
      <c r="BEZ38" s="85"/>
      <c r="BFA38" s="85"/>
      <c r="BFB38" s="85"/>
      <c r="BFC38" s="85"/>
      <c r="BFD38" s="85"/>
      <c r="BFE38" s="85"/>
      <c r="BFF38" s="85"/>
      <c r="BFG38" s="85"/>
      <c r="BFH38" s="85"/>
      <c r="BFI38" s="85"/>
      <c r="BFJ38" s="85"/>
      <c r="BFK38" s="85"/>
      <c r="BFL38" s="85"/>
      <c r="BFM38" s="85"/>
      <c r="BFN38" s="85"/>
      <c r="BFO38" s="85"/>
      <c r="BFP38" s="85"/>
      <c r="BFQ38" s="85"/>
      <c r="BFR38" s="85"/>
      <c r="BFS38" s="85"/>
      <c r="BFT38" s="85"/>
      <c r="BFU38" s="85"/>
      <c r="BFV38" s="85"/>
      <c r="BFW38" s="85"/>
      <c r="BFX38" s="85"/>
      <c r="BFY38" s="85"/>
      <c r="BFZ38" s="85"/>
      <c r="BGA38" s="85"/>
      <c r="BGB38" s="85"/>
      <c r="BGC38" s="85"/>
      <c r="BGD38" s="85"/>
      <c r="BGE38" s="85"/>
      <c r="BGF38" s="85"/>
      <c r="BGG38" s="85"/>
      <c r="BGH38" s="85"/>
      <c r="BGI38" s="85"/>
      <c r="BGJ38" s="85"/>
      <c r="BGK38" s="85"/>
      <c r="BGL38" s="85"/>
      <c r="BGM38" s="85"/>
      <c r="BGN38" s="85"/>
      <c r="BGO38" s="85"/>
      <c r="BGP38" s="85"/>
      <c r="BGQ38" s="85"/>
      <c r="BGR38" s="85"/>
      <c r="BGS38" s="85"/>
      <c r="BGT38" s="85"/>
      <c r="BGU38" s="85"/>
      <c r="BGV38" s="85"/>
      <c r="BGW38" s="85"/>
      <c r="BGX38" s="85"/>
      <c r="BGY38" s="85"/>
      <c r="BGZ38" s="85"/>
      <c r="BHA38" s="85"/>
      <c r="BHB38" s="85"/>
      <c r="BHC38" s="85"/>
      <c r="BHD38" s="85"/>
      <c r="BHE38" s="85"/>
      <c r="BHF38" s="85"/>
      <c r="BHG38" s="85"/>
      <c r="BHH38" s="85"/>
      <c r="BHI38" s="85"/>
      <c r="BHJ38" s="85"/>
      <c r="BHK38" s="85"/>
      <c r="BHL38" s="85"/>
      <c r="BHM38" s="85"/>
      <c r="BHN38" s="85"/>
      <c r="BHO38" s="85"/>
      <c r="BHP38" s="85"/>
      <c r="BHQ38" s="85"/>
      <c r="BHR38" s="85"/>
      <c r="BHS38" s="85"/>
      <c r="BHT38" s="85"/>
      <c r="BHU38" s="85"/>
      <c r="BHV38" s="85"/>
      <c r="BHW38" s="85"/>
      <c r="BHX38" s="85"/>
      <c r="BHY38" s="85"/>
      <c r="BHZ38" s="85"/>
      <c r="BIA38" s="85"/>
      <c r="BIB38" s="85"/>
      <c r="BIC38" s="85"/>
      <c r="BID38" s="85"/>
      <c r="BIE38" s="85"/>
      <c r="BIF38" s="85"/>
      <c r="BIG38" s="85"/>
      <c r="BIH38" s="85"/>
      <c r="BII38" s="85"/>
      <c r="BIJ38" s="85"/>
      <c r="BIK38" s="85"/>
      <c r="BIL38" s="85"/>
      <c r="BIM38" s="85"/>
      <c r="BIN38" s="85"/>
      <c r="BIO38" s="85"/>
      <c r="BIP38" s="85"/>
      <c r="BIQ38" s="85"/>
      <c r="BIR38" s="85"/>
      <c r="BIS38" s="85"/>
      <c r="BIT38" s="85"/>
      <c r="BIU38" s="85"/>
      <c r="BIV38" s="85"/>
      <c r="BIW38" s="85"/>
      <c r="BIX38" s="85"/>
      <c r="BIY38" s="85"/>
      <c r="BIZ38" s="85"/>
      <c r="BJA38" s="85"/>
      <c r="BJB38" s="85"/>
      <c r="BJC38" s="85"/>
      <c r="BJD38" s="85"/>
      <c r="BJE38" s="85"/>
      <c r="BJF38" s="85"/>
      <c r="BJG38" s="85"/>
      <c r="BJH38" s="85"/>
      <c r="BJI38" s="85"/>
      <c r="BJJ38" s="85"/>
      <c r="BJK38" s="85"/>
      <c r="BJL38" s="85"/>
      <c r="BJM38" s="85"/>
      <c r="BJN38" s="85"/>
      <c r="BJO38" s="85"/>
      <c r="BJP38" s="85"/>
      <c r="BJQ38" s="85"/>
      <c r="BJR38" s="85"/>
      <c r="BJS38" s="85"/>
      <c r="BJT38" s="85"/>
      <c r="BJU38" s="85"/>
      <c r="BJV38" s="85"/>
      <c r="BJW38" s="85"/>
      <c r="BJX38" s="85"/>
      <c r="BJY38" s="85"/>
      <c r="BJZ38" s="85"/>
      <c r="BKA38" s="85"/>
      <c r="BKB38" s="85"/>
      <c r="BKC38" s="85"/>
      <c r="BKD38" s="85"/>
      <c r="BKE38" s="85"/>
      <c r="BKF38" s="85"/>
      <c r="BKG38" s="85"/>
      <c r="BKH38" s="85"/>
      <c r="BKI38" s="85"/>
      <c r="BKJ38" s="85"/>
      <c r="BKK38" s="85"/>
      <c r="BKL38" s="85"/>
      <c r="BKM38" s="85"/>
      <c r="BKN38" s="85"/>
      <c r="BKO38" s="85"/>
      <c r="BKP38" s="85"/>
      <c r="BKQ38" s="85"/>
      <c r="BKR38" s="85"/>
      <c r="BKS38" s="85"/>
      <c r="BKT38" s="85"/>
      <c r="BKU38" s="85"/>
      <c r="BKV38" s="85"/>
      <c r="BKW38" s="85"/>
      <c r="BKX38" s="85"/>
      <c r="BKY38" s="85"/>
      <c r="BKZ38" s="85"/>
      <c r="BLA38" s="85"/>
      <c r="BLB38" s="85"/>
      <c r="BLC38" s="85"/>
      <c r="BLD38" s="85"/>
      <c r="BLE38" s="85"/>
      <c r="BLF38" s="85"/>
      <c r="BLG38" s="85"/>
      <c r="BLH38" s="85"/>
      <c r="BLI38" s="85"/>
      <c r="BLJ38" s="85"/>
      <c r="BLK38" s="85"/>
      <c r="BLL38" s="85"/>
      <c r="BLM38" s="85"/>
      <c r="BLN38" s="85"/>
      <c r="BLO38" s="85"/>
      <c r="BLP38" s="85"/>
      <c r="BLQ38" s="85"/>
      <c r="BLR38" s="85"/>
      <c r="BLS38" s="85"/>
      <c r="BLT38" s="85"/>
      <c r="BLU38" s="85"/>
      <c r="BLV38" s="85"/>
      <c r="BLW38" s="85"/>
      <c r="BLX38" s="85"/>
      <c r="BLY38" s="85"/>
      <c r="BLZ38" s="85"/>
      <c r="BMA38" s="85"/>
      <c r="BMB38" s="85"/>
      <c r="BMC38" s="85"/>
      <c r="BMD38" s="85"/>
      <c r="BME38" s="85"/>
      <c r="BMF38" s="85"/>
      <c r="BMG38" s="85"/>
      <c r="BMH38" s="85"/>
      <c r="BMI38" s="85"/>
      <c r="BMJ38" s="85"/>
      <c r="BMK38" s="85"/>
      <c r="BML38" s="85"/>
      <c r="BMM38" s="85"/>
      <c r="BMN38" s="85"/>
      <c r="BMO38" s="85"/>
      <c r="BMP38" s="85"/>
      <c r="BMQ38" s="85"/>
      <c r="BMR38" s="85"/>
      <c r="BMS38" s="85"/>
      <c r="BMT38" s="85"/>
      <c r="BMU38" s="85"/>
      <c r="BMV38" s="85"/>
      <c r="BMW38" s="85"/>
      <c r="BMX38" s="85"/>
      <c r="BMY38" s="85"/>
      <c r="BMZ38" s="85"/>
      <c r="BNA38" s="85"/>
      <c r="BNB38" s="85"/>
      <c r="BNC38" s="85"/>
      <c r="BND38" s="85"/>
      <c r="BNE38" s="85"/>
      <c r="BNF38" s="85"/>
      <c r="BNG38" s="85"/>
      <c r="BNH38" s="85"/>
      <c r="BNI38" s="85"/>
      <c r="BNJ38" s="85"/>
      <c r="BNK38" s="85"/>
      <c r="BNL38" s="85"/>
      <c r="BNM38" s="85"/>
      <c r="BNN38" s="85"/>
      <c r="BNO38" s="85"/>
      <c r="BNP38" s="85"/>
      <c r="BNQ38" s="85"/>
      <c r="BNR38" s="85"/>
      <c r="BNS38" s="85"/>
      <c r="BNT38" s="85"/>
      <c r="BNU38" s="85"/>
      <c r="BNV38" s="85"/>
      <c r="BNW38" s="85"/>
      <c r="BNX38" s="85"/>
      <c r="BNY38" s="85"/>
      <c r="BNZ38" s="85"/>
      <c r="BOA38" s="85"/>
      <c r="BOB38" s="85"/>
      <c r="BOC38" s="85"/>
      <c r="BOD38" s="85"/>
      <c r="BOE38" s="85"/>
      <c r="BOF38" s="85"/>
      <c r="BOG38" s="85"/>
      <c r="BOH38" s="85"/>
      <c r="BOI38" s="85"/>
      <c r="BOJ38" s="85"/>
      <c r="BOK38" s="85"/>
      <c r="BOL38" s="85"/>
      <c r="BOM38" s="85"/>
      <c r="BON38" s="85"/>
      <c r="BOO38" s="85"/>
      <c r="BOP38" s="85"/>
      <c r="BOQ38" s="85"/>
      <c r="BOR38" s="85"/>
      <c r="BOS38" s="85"/>
      <c r="BOT38" s="85"/>
      <c r="BOU38" s="85"/>
      <c r="BOV38" s="85"/>
      <c r="BOW38" s="85"/>
      <c r="BOX38" s="85"/>
      <c r="BOY38" s="85"/>
      <c r="BOZ38" s="85"/>
      <c r="BPA38" s="85"/>
      <c r="BPB38" s="85"/>
      <c r="BPC38" s="85"/>
      <c r="BPD38" s="85"/>
      <c r="BPE38" s="85"/>
      <c r="BPF38" s="85"/>
      <c r="BPG38" s="85"/>
      <c r="BPH38" s="85"/>
      <c r="BPI38" s="85"/>
      <c r="BPJ38" s="85"/>
      <c r="BPK38" s="85"/>
      <c r="BPL38" s="85"/>
      <c r="BPM38" s="85"/>
      <c r="BPN38" s="85"/>
      <c r="BPO38" s="85"/>
      <c r="BPP38" s="85"/>
      <c r="BPQ38" s="85"/>
      <c r="BPR38" s="85"/>
      <c r="BPS38" s="85"/>
      <c r="BPT38" s="85"/>
      <c r="BPU38" s="85"/>
      <c r="BPV38" s="85"/>
      <c r="BPW38" s="85"/>
      <c r="BPX38" s="85"/>
      <c r="BPY38" s="85"/>
      <c r="BPZ38" s="85"/>
      <c r="BQA38" s="85"/>
      <c r="BQB38" s="85"/>
      <c r="BQC38" s="85"/>
      <c r="BQD38" s="85"/>
      <c r="BQE38" s="85"/>
      <c r="BQF38" s="85"/>
      <c r="BQG38" s="85"/>
      <c r="BQH38" s="85"/>
      <c r="BQI38" s="85"/>
      <c r="BQJ38" s="85"/>
      <c r="BQK38" s="85"/>
      <c r="BQL38" s="85"/>
      <c r="BQM38" s="85"/>
      <c r="BQN38" s="85"/>
      <c r="BQO38" s="85"/>
      <c r="BQP38" s="85"/>
      <c r="BQQ38" s="85"/>
      <c r="BQR38" s="85"/>
      <c r="BQS38" s="85"/>
      <c r="BQT38" s="85"/>
      <c r="BQU38" s="85"/>
      <c r="BQV38" s="85"/>
      <c r="BQW38" s="85"/>
      <c r="BQX38" s="85"/>
      <c r="BQY38" s="85"/>
      <c r="BQZ38" s="85"/>
      <c r="BRA38" s="85"/>
      <c r="BRB38" s="85"/>
      <c r="BRC38" s="85"/>
      <c r="BRD38" s="85"/>
      <c r="BRE38" s="85"/>
      <c r="BRF38" s="85"/>
      <c r="BRG38" s="85"/>
      <c r="BRH38" s="85"/>
      <c r="BRI38" s="85"/>
      <c r="BRJ38" s="85"/>
      <c r="BRK38" s="85"/>
      <c r="BRL38" s="85"/>
      <c r="BRM38" s="85"/>
      <c r="BRN38" s="85"/>
      <c r="BRO38" s="85"/>
      <c r="BRP38" s="85"/>
      <c r="BRQ38" s="85"/>
      <c r="BRR38" s="85"/>
      <c r="BRS38" s="85"/>
      <c r="BRT38" s="85"/>
      <c r="BRU38" s="85"/>
      <c r="BRV38" s="85"/>
      <c r="BRW38" s="85"/>
      <c r="BRX38" s="85"/>
      <c r="BRY38" s="85"/>
      <c r="BRZ38" s="85"/>
      <c r="BSA38" s="85"/>
      <c r="BSB38" s="85"/>
      <c r="BSC38" s="85"/>
      <c r="BSD38" s="85"/>
      <c r="BSE38" s="85"/>
      <c r="BSF38" s="85"/>
      <c r="BSG38" s="85"/>
      <c r="BSH38" s="85"/>
      <c r="BSI38" s="85"/>
      <c r="BSJ38" s="85"/>
      <c r="BSK38" s="85"/>
      <c r="BSL38" s="85"/>
      <c r="BSM38" s="85"/>
      <c r="BSN38" s="85"/>
      <c r="BSO38" s="85"/>
      <c r="BSP38" s="85"/>
      <c r="BSQ38" s="85"/>
      <c r="BSR38" s="85"/>
      <c r="BSS38" s="85"/>
      <c r="BST38" s="85"/>
      <c r="BSU38" s="85"/>
      <c r="BSV38" s="85"/>
      <c r="BSW38" s="85"/>
      <c r="BSX38" s="85"/>
      <c r="BSY38" s="85"/>
      <c r="BSZ38" s="85"/>
      <c r="BTA38" s="85"/>
      <c r="BTB38" s="85"/>
      <c r="BTC38" s="85"/>
      <c r="BTD38" s="85"/>
      <c r="BTE38" s="85"/>
      <c r="BTF38" s="85"/>
      <c r="BTG38" s="85"/>
      <c r="BTH38" s="85"/>
      <c r="BTI38" s="85"/>
      <c r="BTJ38" s="85"/>
      <c r="BTK38" s="85"/>
      <c r="BTL38" s="85"/>
      <c r="BTM38" s="85"/>
      <c r="BTN38" s="85"/>
      <c r="BTO38" s="85"/>
      <c r="BTP38" s="85"/>
      <c r="BTQ38" s="85"/>
      <c r="BTR38" s="85"/>
      <c r="BTS38" s="85"/>
      <c r="BTT38" s="85"/>
      <c r="BTU38" s="85"/>
      <c r="BTV38" s="85"/>
      <c r="BTW38" s="85"/>
      <c r="BTX38" s="85"/>
      <c r="BTY38" s="85"/>
      <c r="BTZ38" s="85"/>
      <c r="BUA38" s="85"/>
      <c r="BUB38" s="85"/>
      <c r="BUC38" s="85"/>
      <c r="BUD38" s="85"/>
      <c r="BUE38" s="85"/>
      <c r="BUF38" s="85"/>
      <c r="BUG38" s="85"/>
      <c r="BUH38" s="85"/>
      <c r="BUI38" s="85"/>
      <c r="BUJ38" s="85"/>
      <c r="BUK38" s="85"/>
      <c r="BUL38" s="85"/>
      <c r="BUM38" s="85"/>
      <c r="BUN38" s="85"/>
      <c r="BUO38" s="85"/>
      <c r="BUP38" s="85"/>
      <c r="BUQ38" s="85"/>
      <c r="BUR38" s="85"/>
      <c r="BUS38" s="85"/>
      <c r="BUT38" s="85"/>
      <c r="BUU38" s="85"/>
      <c r="BUV38" s="85"/>
      <c r="BUW38" s="85"/>
      <c r="BUX38" s="85"/>
      <c r="BUY38" s="85"/>
      <c r="BUZ38" s="85"/>
      <c r="BVA38" s="85"/>
      <c r="BVB38" s="85"/>
      <c r="BVC38" s="85"/>
      <c r="BVD38" s="85"/>
      <c r="BVE38" s="85"/>
      <c r="BVF38" s="85"/>
      <c r="BVG38" s="85"/>
      <c r="BVH38" s="85"/>
      <c r="BVI38" s="85"/>
      <c r="BVJ38" s="85"/>
      <c r="BVK38" s="85"/>
      <c r="BVL38" s="85"/>
      <c r="BVM38" s="85"/>
      <c r="BVN38" s="85"/>
      <c r="BVO38" s="85"/>
      <c r="BVP38" s="85"/>
      <c r="BVQ38" s="85"/>
      <c r="BVR38" s="85"/>
      <c r="BVS38" s="85"/>
      <c r="BVT38" s="85"/>
      <c r="BVU38" s="85"/>
      <c r="BVV38" s="85"/>
      <c r="BVW38" s="85"/>
      <c r="BVX38" s="85"/>
      <c r="BVY38" s="85"/>
      <c r="BVZ38" s="85"/>
      <c r="BWA38" s="85"/>
      <c r="BWB38" s="85"/>
      <c r="BWC38" s="85"/>
      <c r="BWD38" s="85"/>
      <c r="BWE38" s="85"/>
      <c r="BWF38" s="85"/>
      <c r="BWG38" s="85"/>
      <c r="BWH38" s="85"/>
      <c r="BWI38" s="85"/>
      <c r="BWJ38" s="85"/>
      <c r="BWK38" s="85"/>
      <c r="BWL38" s="85"/>
      <c r="BWM38" s="85"/>
      <c r="BWN38" s="85"/>
      <c r="BWO38" s="85"/>
      <c r="BWP38" s="85"/>
      <c r="BWQ38" s="85"/>
      <c r="BWR38" s="85"/>
      <c r="BWS38" s="85"/>
      <c r="BWT38" s="85"/>
      <c r="BWU38" s="85"/>
      <c r="BWV38" s="85"/>
      <c r="BWW38" s="85"/>
      <c r="BWX38" s="85"/>
      <c r="BWY38" s="85"/>
      <c r="BWZ38" s="85"/>
      <c r="BXA38" s="85"/>
      <c r="BXB38" s="85"/>
      <c r="BXC38" s="85"/>
      <c r="BXD38" s="85"/>
      <c r="BXE38" s="85"/>
      <c r="BXF38" s="85"/>
      <c r="BXG38" s="85"/>
      <c r="BXH38" s="85"/>
      <c r="BXI38" s="85"/>
      <c r="BXJ38" s="85"/>
      <c r="BXK38" s="85"/>
      <c r="BXL38" s="85"/>
      <c r="BXM38" s="85"/>
      <c r="BXN38" s="85"/>
      <c r="BXO38" s="85"/>
      <c r="BXP38" s="85"/>
      <c r="BXQ38" s="85"/>
      <c r="BXR38" s="85"/>
      <c r="BXS38" s="85"/>
      <c r="BXT38" s="85"/>
      <c r="BXU38" s="85"/>
      <c r="BXV38" s="85"/>
      <c r="BXW38" s="85"/>
      <c r="BXX38" s="85"/>
      <c r="BXY38" s="85"/>
      <c r="BXZ38" s="85"/>
      <c r="BYA38" s="85"/>
      <c r="BYB38" s="85"/>
      <c r="BYC38" s="85"/>
      <c r="BYD38" s="85"/>
      <c r="BYE38" s="85"/>
      <c r="BYF38" s="85"/>
      <c r="BYG38" s="85"/>
      <c r="BYH38" s="85"/>
      <c r="BYI38" s="85"/>
      <c r="BYJ38" s="85"/>
      <c r="BYK38" s="85"/>
      <c r="BYL38" s="85"/>
      <c r="BYM38" s="85"/>
      <c r="BYN38" s="85"/>
      <c r="BYO38" s="85"/>
      <c r="BYP38" s="85"/>
      <c r="BYQ38" s="85"/>
      <c r="BYR38" s="85"/>
      <c r="BYS38" s="85"/>
      <c r="BYT38" s="85"/>
      <c r="BYU38" s="85"/>
      <c r="BYV38" s="85"/>
      <c r="BYW38" s="85"/>
      <c r="BYX38" s="85"/>
      <c r="BYY38" s="85"/>
      <c r="BYZ38" s="85"/>
      <c r="BZA38" s="85"/>
      <c r="BZB38" s="85"/>
      <c r="BZC38" s="85"/>
      <c r="BZD38" s="85"/>
      <c r="BZE38" s="85"/>
      <c r="BZF38" s="85"/>
      <c r="BZG38" s="85"/>
      <c r="BZH38" s="85"/>
      <c r="BZI38" s="85"/>
      <c r="BZJ38" s="85"/>
      <c r="BZK38" s="85"/>
      <c r="BZL38" s="85"/>
      <c r="BZM38" s="85"/>
      <c r="BZN38" s="85"/>
      <c r="BZO38" s="85"/>
      <c r="BZP38" s="85"/>
      <c r="BZQ38" s="85"/>
      <c r="BZR38" s="85"/>
      <c r="BZS38" s="85"/>
      <c r="BZT38" s="85"/>
      <c r="BZU38" s="85"/>
      <c r="BZV38" s="85"/>
      <c r="BZW38" s="85"/>
      <c r="BZX38" s="85"/>
      <c r="BZY38" s="85"/>
      <c r="BZZ38" s="85"/>
      <c r="CAA38" s="85"/>
      <c r="CAB38" s="85"/>
      <c r="CAC38" s="85"/>
      <c r="CAD38" s="85"/>
      <c r="CAE38" s="85"/>
      <c r="CAF38" s="85"/>
      <c r="CAG38" s="85"/>
      <c r="CAH38" s="85"/>
      <c r="CAI38" s="85"/>
      <c r="CAJ38" s="85"/>
      <c r="CAK38" s="85"/>
      <c r="CAL38" s="85"/>
      <c r="CAM38" s="85"/>
      <c r="CAN38" s="85"/>
      <c r="CAO38" s="85"/>
      <c r="CAP38" s="85"/>
      <c r="CAQ38" s="85"/>
      <c r="CAR38" s="85"/>
      <c r="CAS38" s="85"/>
      <c r="CAT38" s="85"/>
      <c r="CAU38" s="85"/>
      <c r="CAV38" s="85"/>
      <c r="CAW38" s="85"/>
      <c r="CAX38" s="85"/>
      <c r="CAY38" s="85"/>
      <c r="CAZ38" s="85"/>
      <c r="CBA38" s="85"/>
      <c r="CBB38" s="85"/>
      <c r="CBC38" s="85"/>
      <c r="CBD38" s="85"/>
      <c r="CBE38" s="85"/>
      <c r="CBF38" s="85"/>
      <c r="CBG38" s="85"/>
      <c r="CBH38" s="85"/>
      <c r="CBI38" s="85"/>
      <c r="CBJ38" s="85"/>
      <c r="CBK38" s="85"/>
      <c r="CBL38" s="85"/>
      <c r="CBM38" s="85"/>
      <c r="CBN38" s="85"/>
      <c r="CBO38" s="85"/>
      <c r="CBP38" s="85"/>
      <c r="CBQ38" s="85"/>
      <c r="CBR38" s="85"/>
      <c r="CBS38" s="85"/>
      <c r="CBT38" s="85"/>
      <c r="CBU38" s="85"/>
      <c r="CBV38" s="85"/>
      <c r="CBW38" s="85"/>
      <c r="CBX38" s="85"/>
      <c r="CBY38" s="85"/>
      <c r="CBZ38" s="85"/>
      <c r="CCA38" s="85"/>
      <c r="CCB38" s="85"/>
      <c r="CCC38" s="85"/>
      <c r="CCD38" s="85"/>
      <c r="CCE38" s="85"/>
      <c r="CCF38" s="85"/>
      <c r="CCG38" s="85"/>
      <c r="CCH38" s="85"/>
      <c r="CCI38" s="85"/>
      <c r="CCJ38" s="85"/>
      <c r="CCK38" s="85"/>
      <c r="CCL38" s="85"/>
      <c r="CCM38" s="85"/>
      <c r="CCN38" s="85"/>
      <c r="CCO38" s="85"/>
      <c r="CCP38" s="85"/>
      <c r="CCQ38" s="85"/>
      <c r="CCR38" s="85"/>
      <c r="CCS38" s="85"/>
      <c r="CCT38" s="85"/>
      <c r="CCU38" s="85"/>
      <c r="CCV38" s="85"/>
      <c r="CCW38" s="85"/>
      <c r="CCX38" s="85"/>
      <c r="CCY38" s="85"/>
      <c r="CCZ38" s="85"/>
      <c r="CDA38" s="85"/>
      <c r="CDB38" s="85"/>
      <c r="CDC38" s="85"/>
      <c r="CDD38" s="85"/>
      <c r="CDE38" s="85"/>
      <c r="CDF38" s="85"/>
      <c r="CDG38" s="85"/>
      <c r="CDH38" s="85"/>
      <c r="CDI38" s="85"/>
      <c r="CDJ38" s="85"/>
      <c r="CDK38" s="85"/>
      <c r="CDL38" s="85"/>
      <c r="CDM38" s="85"/>
      <c r="CDN38" s="85"/>
      <c r="CDO38" s="85"/>
      <c r="CDP38" s="85"/>
      <c r="CDQ38" s="85"/>
      <c r="CDR38" s="85"/>
      <c r="CDS38" s="85"/>
      <c r="CDT38" s="85"/>
      <c r="CDU38" s="85"/>
      <c r="CDV38" s="85"/>
      <c r="CDW38" s="85"/>
      <c r="CDX38" s="85"/>
      <c r="CDY38" s="85"/>
      <c r="CDZ38" s="85"/>
      <c r="CEA38" s="85"/>
      <c r="CEB38" s="85"/>
      <c r="CEC38" s="85"/>
      <c r="CED38" s="85"/>
      <c r="CEE38" s="85"/>
      <c r="CEF38" s="85"/>
      <c r="CEG38" s="85"/>
      <c r="CEH38" s="85"/>
      <c r="CEI38" s="85"/>
      <c r="CEJ38" s="85"/>
      <c r="CEK38" s="85"/>
      <c r="CEL38" s="85"/>
      <c r="CEM38" s="85"/>
      <c r="CEN38" s="85"/>
      <c r="CEO38" s="85"/>
      <c r="CEP38" s="85"/>
      <c r="CEQ38" s="85"/>
      <c r="CER38" s="85"/>
      <c r="CES38" s="85"/>
      <c r="CET38" s="85"/>
      <c r="CEU38" s="85"/>
      <c r="CEV38" s="85"/>
      <c r="CEW38" s="85"/>
      <c r="CEX38" s="85"/>
      <c r="CEY38" s="85"/>
      <c r="CEZ38" s="85"/>
      <c r="CFA38" s="85"/>
      <c r="CFB38" s="85"/>
      <c r="CFC38" s="85"/>
      <c r="CFD38" s="85"/>
      <c r="CFE38" s="85"/>
      <c r="CFF38" s="85"/>
      <c r="CFG38" s="85"/>
      <c r="CFH38" s="85"/>
      <c r="CFI38" s="85"/>
      <c r="CFJ38" s="85"/>
      <c r="CFK38" s="85"/>
      <c r="CFL38" s="85"/>
      <c r="CFM38" s="85"/>
      <c r="CFN38" s="85"/>
      <c r="CFO38" s="85"/>
      <c r="CFP38" s="85"/>
      <c r="CFQ38" s="85"/>
      <c r="CFR38" s="85"/>
      <c r="CFS38" s="85"/>
      <c r="CFT38" s="85"/>
      <c r="CFU38" s="85"/>
      <c r="CFV38" s="85"/>
      <c r="CFW38" s="85"/>
      <c r="CFX38" s="85"/>
      <c r="CFY38" s="85"/>
      <c r="CFZ38" s="85"/>
      <c r="CGA38" s="85"/>
      <c r="CGB38" s="85"/>
      <c r="CGC38" s="85"/>
      <c r="CGD38" s="85"/>
      <c r="CGE38" s="85"/>
      <c r="CGF38" s="85"/>
      <c r="CGG38" s="85"/>
      <c r="CGH38" s="85"/>
      <c r="CGI38" s="85"/>
      <c r="CGJ38" s="85"/>
      <c r="CGK38" s="85"/>
      <c r="CGL38" s="85"/>
      <c r="CGM38" s="85"/>
      <c r="CGN38" s="85"/>
      <c r="CGO38" s="85"/>
      <c r="CGP38" s="85"/>
      <c r="CGQ38" s="85"/>
      <c r="CGR38" s="85"/>
      <c r="CGS38" s="85"/>
      <c r="CGT38" s="85"/>
      <c r="CGU38" s="85"/>
      <c r="CGV38" s="85"/>
      <c r="CGW38" s="85"/>
      <c r="CGX38" s="85"/>
      <c r="CGY38" s="85"/>
      <c r="CGZ38" s="85"/>
      <c r="CHA38" s="85"/>
      <c r="CHB38" s="85"/>
      <c r="CHC38" s="85"/>
      <c r="CHD38" s="85"/>
      <c r="CHE38" s="85"/>
      <c r="CHF38" s="85"/>
      <c r="CHG38" s="85"/>
      <c r="CHH38" s="85"/>
      <c r="CHI38" s="85"/>
      <c r="CHJ38" s="85"/>
      <c r="CHK38" s="85"/>
      <c r="CHL38" s="85"/>
      <c r="CHM38" s="85"/>
      <c r="CHN38" s="85"/>
      <c r="CHO38" s="85"/>
      <c r="CHP38" s="85"/>
      <c r="CHQ38" s="85"/>
      <c r="CHR38" s="85"/>
      <c r="CHS38" s="85"/>
      <c r="CHT38" s="85"/>
      <c r="CHU38" s="85"/>
      <c r="CHV38" s="85"/>
      <c r="CHW38" s="85"/>
      <c r="CHX38" s="85"/>
      <c r="CHY38" s="85"/>
      <c r="CHZ38" s="85"/>
      <c r="CIA38" s="85"/>
      <c r="CIB38" s="85"/>
      <c r="CIC38" s="85"/>
      <c r="CID38" s="85"/>
      <c r="CIE38" s="85"/>
      <c r="CIF38" s="85"/>
      <c r="CIG38" s="85"/>
      <c r="CIH38" s="85"/>
      <c r="CII38" s="85"/>
      <c r="CIJ38" s="85"/>
      <c r="CIK38" s="85"/>
      <c r="CIL38" s="85"/>
      <c r="CIM38" s="85"/>
      <c r="CIN38" s="85"/>
      <c r="CIO38" s="85"/>
      <c r="CIP38" s="85"/>
      <c r="CIQ38" s="85"/>
      <c r="CIR38" s="85"/>
      <c r="CIS38" s="85"/>
      <c r="CIT38" s="85"/>
      <c r="CIU38" s="85"/>
      <c r="CIV38" s="85"/>
      <c r="CIW38" s="85"/>
      <c r="CIX38" s="85"/>
      <c r="CIY38" s="85"/>
      <c r="CIZ38" s="85"/>
      <c r="CJA38" s="85"/>
      <c r="CJB38" s="85"/>
      <c r="CJC38" s="85"/>
      <c r="CJD38" s="85"/>
      <c r="CJE38" s="85"/>
      <c r="CJF38" s="85"/>
      <c r="CJG38" s="85"/>
      <c r="CJH38" s="85"/>
      <c r="CJI38" s="85"/>
      <c r="CJJ38" s="85"/>
      <c r="CJK38" s="85"/>
      <c r="CJL38" s="85"/>
      <c r="CJM38" s="85"/>
      <c r="CJN38" s="85"/>
      <c r="CJO38" s="85"/>
      <c r="CJP38" s="85"/>
      <c r="CJQ38" s="85"/>
      <c r="CJR38" s="85"/>
      <c r="CJS38" s="85"/>
      <c r="CJT38" s="85"/>
      <c r="CJU38" s="85"/>
      <c r="CJV38" s="85"/>
      <c r="CJW38" s="85"/>
      <c r="CJX38" s="85"/>
      <c r="CJY38" s="85"/>
      <c r="CJZ38" s="85"/>
      <c r="CKA38" s="85"/>
      <c r="CKB38" s="85"/>
      <c r="CKC38" s="85"/>
      <c r="CKD38" s="85"/>
      <c r="CKE38" s="85"/>
      <c r="CKF38" s="85"/>
      <c r="CKG38" s="85"/>
      <c r="CKH38" s="85"/>
      <c r="CKI38" s="85"/>
      <c r="CKJ38" s="85"/>
      <c r="CKK38" s="85"/>
      <c r="CKL38" s="85"/>
      <c r="CKM38" s="85"/>
      <c r="CKN38" s="85"/>
      <c r="CKO38" s="85"/>
      <c r="CKP38" s="85"/>
      <c r="CKQ38" s="85"/>
      <c r="CKR38" s="85"/>
      <c r="CKS38" s="85"/>
      <c r="CKT38" s="85"/>
      <c r="CKU38" s="85"/>
      <c r="CKV38" s="85"/>
      <c r="CKW38" s="85"/>
      <c r="CKX38" s="85"/>
      <c r="CKY38" s="85"/>
      <c r="CKZ38" s="85"/>
      <c r="CLA38" s="85"/>
      <c r="CLB38" s="85"/>
      <c r="CLC38" s="85"/>
      <c r="CLD38" s="85"/>
      <c r="CLE38" s="85"/>
      <c r="CLF38" s="85"/>
      <c r="CLG38" s="85"/>
      <c r="CLH38" s="85"/>
      <c r="CLI38" s="85"/>
      <c r="CLJ38" s="85"/>
      <c r="CLK38" s="85"/>
      <c r="CLL38" s="85"/>
      <c r="CLM38" s="85"/>
      <c r="CLN38" s="85"/>
      <c r="CLO38" s="85"/>
      <c r="CLP38" s="85"/>
      <c r="CLQ38" s="85"/>
      <c r="CLR38" s="85"/>
      <c r="CLS38" s="85"/>
      <c r="CLT38" s="85"/>
      <c r="CLU38" s="85"/>
      <c r="CLV38" s="85"/>
      <c r="CLW38" s="85"/>
      <c r="CLX38" s="85"/>
      <c r="CLY38" s="85"/>
      <c r="CLZ38" s="85"/>
      <c r="CMA38" s="85"/>
      <c r="CMB38" s="85"/>
      <c r="CMC38" s="85"/>
      <c r="CMD38" s="85"/>
      <c r="CME38" s="85"/>
      <c r="CMF38" s="85"/>
      <c r="CMG38" s="85"/>
      <c r="CMH38" s="85"/>
      <c r="CMI38" s="85"/>
      <c r="CMJ38" s="85"/>
      <c r="CMK38" s="85"/>
      <c r="CML38" s="85"/>
      <c r="CMM38" s="85"/>
      <c r="CMN38" s="85"/>
      <c r="CMO38" s="85"/>
      <c r="CMP38" s="85"/>
      <c r="CMQ38" s="85"/>
      <c r="CMR38" s="85"/>
      <c r="CMS38" s="85"/>
      <c r="CMT38" s="85"/>
      <c r="CMU38" s="85"/>
      <c r="CMV38" s="85"/>
      <c r="CMW38" s="85"/>
      <c r="CMX38" s="85"/>
      <c r="CMY38" s="85"/>
      <c r="CMZ38" s="85"/>
      <c r="CNA38" s="85"/>
      <c r="CNB38" s="85"/>
      <c r="CNC38" s="85"/>
      <c r="CND38" s="85"/>
      <c r="CNE38" s="85"/>
      <c r="CNF38" s="85"/>
      <c r="CNG38" s="85"/>
      <c r="CNH38" s="85"/>
      <c r="CNI38" s="85"/>
      <c r="CNJ38" s="85"/>
      <c r="CNK38" s="85"/>
      <c r="CNL38" s="85"/>
      <c r="CNM38" s="85"/>
      <c r="CNN38" s="85"/>
      <c r="CNO38" s="85"/>
      <c r="CNP38" s="85"/>
      <c r="CNQ38" s="85"/>
      <c r="CNR38" s="85"/>
      <c r="CNS38" s="85"/>
      <c r="CNT38" s="85"/>
      <c r="CNU38" s="85"/>
      <c r="CNV38" s="85"/>
      <c r="CNW38" s="85"/>
      <c r="CNX38" s="85"/>
      <c r="CNY38" s="85"/>
      <c r="CNZ38" s="85"/>
      <c r="COA38" s="85"/>
      <c r="COB38" s="85"/>
      <c r="COC38" s="85"/>
      <c r="COD38" s="85"/>
      <c r="COE38" s="85"/>
      <c r="COF38" s="85"/>
      <c r="COG38" s="85"/>
      <c r="COH38" s="85"/>
      <c r="COI38" s="85"/>
      <c r="COJ38" s="85"/>
      <c r="COK38" s="85"/>
      <c r="COL38" s="85"/>
      <c r="COM38" s="85"/>
      <c r="CON38" s="85"/>
      <c r="COO38" s="85"/>
      <c r="COP38" s="85"/>
      <c r="COQ38" s="85"/>
      <c r="COR38" s="85"/>
      <c r="COS38" s="85"/>
      <c r="COT38" s="85"/>
      <c r="COU38" s="85"/>
      <c r="COV38" s="85"/>
      <c r="COW38" s="85"/>
      <c r="COX38" s="85"/>
      <c r="COY38" s="85"/>
      <c r="COZ38" s="85"/>
      <c r="CPA38" s="85"/>
      <c r="CPB38" s="85"/>
      <c r="CPC38" s="85"/>
      <c r="CPD38" s="85"/>
      <c r="CPE38" s="85"/>
      <c r="CPF38" s="85"/>
      <c r="CPG38" s="85"/>
      <c r="CPH38" s="85"/>
      <c r="CPI38" s="85"/>
      <c r="CPJ38" s="85"/>
      <c r="CPK38" s="85"/>
      <c r="CPL38" s="85"/>
      <c r="CPM38" s="85"/>
      <c r="CPN38" s="85"/>
      <c r="CPO38" s="85"/>
      <c r="CPP38" s="85"/>
      <c r="CPQ38" s="85"/>
      <c r="CPR38" s="85"/>
      <c r="CPS38" s="85"/>
      <c r="CPT38" s="85"/>
      <c r="CPU38" s="85"/>
      <c r="CPV38" s="85"/>
      <c r="CPW38" s="85"/>
      <c r="CPX38" s="85"/>
      <c r="CPY38" s="85"/>
      <c r="CPZ38" s="85"/>
      <c r="CQA38" s="85"/>
      <c r="CQB38" s="85"/>
      <c r="CQC38" s="85"/>
      <c r="CQD38" s="85"/>
      <c r="CQE38" s="85"/>
      <c r="CQF38" s="85"/>
      <c r="CQG38" s="85"/>
      <c r="CQH38" s="85"/>
      <c r="CQI38" s="85"/>
      <c r="CQJ38" s="85"/>
      <c r="CQK38" s="85"/>
      <c r="CQL38" s="85"/>
      <c r="CQM38" s="85"/>
      <c r="CQN38" s="85"/>
      <c r="CQO38" s="85"/>
      <c r="CQP38" s="85"/>
      <c r="CQQ38" s="85"/>
      <c r="CQR38" s="85"/>
      <c r="CQS38" s="85"/>
      <c r="CQT38" s="85"/>
      <c r="CQU38" s="85"/>
      <c r="CQV38" s="85"/>
      <c r="CQW38" s="85"/>
      <c r="CQX38" s="85"/>
      <c r="CQY38" s="85"/>
      <c r="CQZ38" s="85"/>
      <c r="CRA38" s="85"/>
      <c r="CRB38" s="85"/>
      <c r="CRC38" s="85"/>
      <c r="CRD38" s="85"/>
      <c r="CRE38" s="85"/>
      <c r="CRF38" s="85"/>
      <c r="CRG38" s="85"/>
      <c r="CRH38" s="85"/>
      <c r="CRI38" s="85"/>
      <c r="CRJ38" s="85"/>
      <c r="CRK38" s="85"/>
      <c r="CRL38" s="85"/>
      <c r="CRM38" s="85"/>
      <c r="CRN38" s="85"/>
      <c r="CRO38" s="85"/>
      <c r="CRP38" s="85"/>
      <c r="CRQ38" s="85"/>
      <c r="CRR38" s="85"/>
      <c r="CRS38" s="85"/>
      <c r="CRT38" s="85"/>
      <c r="CRU38" s="85"/>
      <c r="CRV38" s="85"/>
      <c r="CRW38" s="85"/>
      <c r="CRX38" s="85"/>
      <c r="CRY38" s="85"/>
      <c r="CRZ38" s="85"/>
      <c r="CSA38" s="85"/>
      <c r="CSB38" s="85"/>
      <c r="CSC38" s="85"/>
      <c r="CSD38" s="85"/>
      <c r="CSE38" s="85"/>
      <c r="CSF38" s="85"/>
      <c r="CSG38" s="85"/>
      <c r="CSH38" s="85"/>
      <c r="CSI38" s="85"/>
      <c r="CSJ38" s="85"/>
      <c r="CSK38" s="85"/>
      <c r="CSL38" s="85"/>
      <c r="CSM38" s="85"/>
      <c r="CSN38" s="85"/>
      <c r="CSO38" s="85"/>
      <c r="CSP38" s="85"/>
      <c r="CSQ38" s="85"/>
      <c r="CSR38" s="85"/>
      <c r="CSS38" s="85"/>
      <c r="CST38" s="85"/>
      <c r="CSU38" s="85"/>
      <c r="CSV38" s="85"/>
      <c r="CSW38" s="85"/>
      <c r="CSX38" s="85"/>
      <c r="CSY38" s="85"/>
      <c r="CSZ38" s="85"/>
      <c r="CTA38" s="85"/>
      <c r="CTB38" s="85"/>
      <c r="CTC38" s="85"/>
      <c r="CTD38" s="85"/>
      <c r="CTE38" s="85"/>
      <c r="CTF38" s="85"/>
      <c r="CTG38" s="85"/>
      <c r="CTH38" s="85"/>
      <c r="CTI38" s="85"/>
      <c r="CTJ38" s="85"/>
      <c r="CTK38" s="85"/>
      <c r="CTL38" s="85"/>
      <c r="CTM38" s="85"/>
      <c r="CTN38" s="85"/>
      <c r="CTO38" s="85"/>
      <c r="CTP38" s="85"/>
      <c r="CTQ38" s="85"/>
      <c r="CTR38" s="85"/>
      <c r="CTS38" s="85"/>
      <c r="CTT38" s="85"/>
      <c r="CTU38" s="85"/>
      <c r="CTV38" s="85"/>
      <c r="CTW38" s="85"/>
      <c r="CTX38" s="85"/>
      <c r="CTY38" s="85"/>
      <c r="CTZ38" s="85"/>
      <c r="CUA38" s="85"/>
      <c r="CUB38" s="85"/>
      <c r="CUC38" s="85"/>
      <c r="CUD38" s="85"/>
      <c r="CUE38" s="85"/>
      <c r="CUF38" s="85"/>
      <c r="CUG38" s="85"/>
      <c r="CUH38" s="85"/>
      <c r="CUI38" s="85"/>
      <c r="CUJ38" s="85"/>
      <c r="CUK38" s="85"/>
      <c r="CUL38" s="85"/>
      <c r="CUM38" s="85"/>
      <c r="CUN38" s="85"/>
      <c r="CUO38" s="85"/>
      <c r="CUP38" s="85"/>
      <c r="CUQ38" s="85"/>
      <c r="CUR38" s="85"/>
      <c r="CUS38" s="85"/>
      <c r="CUT38" s="85"/>
      <c r="CUU38" s="85"/>
      <c r="CUV38" s="85"/>
      <c r="CUW38" s="85"/>
      <c r="CUX38" s="85"/>
      <c r="CUY38" s="85"/>
      <c r="CUZ38" s="85"/>
      <c r="CVA38" s="85"/>
      <c r="CVB38" s="85"/>
      <c r="CVC38" s="85"/>
      <c r="CVD38" s="85"/>
      <c r="CVE38" s="85"/>
      <c r="CVF38" s="85"/>
      <c r="CVG38" s="85"/>
      <c r="CVH38" s="85"/>
      <c r="CVI38" s="85"/>
      <c r="CVJ38" s="85"/>
      <c r="CVK38" s="85"/>
      <c r="CVL38" s="85"/>
      <c r="CVM38" s="85"/>
      <c r="CVN38" s="85"/>
      <c r="CVO38" s="85"/>
      <c r="CVP38" s="85"/>
      <c r="CVQ38" s="85"/>
      <c r="CVR38" s="85"/>
      <c r="CVS38" s="85"/>
      <c r="CVT38" s="85"/>
      <c r="CVU38" s="85"/>
      <c r="CVV38" s="85"/>
      <c r="CVW38" s="85"/>
      <c r="CVX38" s="85"/>
      <c r="CVY38" s="85"/>
      <c r="CVZ38" s="85"/>
      <c r="CWA38" s="85"/>
      <c r="CWB38" s="85"/>
      <c r="CWC38" s="85"/>
      <c r="CWD38" s="85"/>
      <c r="CWE38" s="85"/>
      <c r="CWF38" s="85"/>
      <c r="CWG38" s="85"/>
      <c r="CWH38" s="85"/>
      <c r="CWI38" s="85"/>
      <c r="CWJ38" s="85"/>
      <c r="CWK38" s="85"/>
      <c r="CWL38" s="85"/>
      <c r="CWM38" s="85"/>
      <c r="CWN38" s="85"/>
      <c r="CWO38" s="85"/>
      <c r="CWP38" s="85"/>
      <c r="CWQ38" s="85"/>
      <c r="CWR38" s="85"/>
      <c r="CWS38" s="85"/>
      <c r="CWT38" s="85"/>
      <c r="CWU38" s="85"/>
      <c r="CWV38" s="85"/>
      <c r="CWW38" s="85"/>
      <c r="CWX38" s="85"/>
      <c r="CWY38" s="85"/>
      <c r="CWZ38" s="85"/>
      <c r="CXA38" s="85"/>
      <c r="CXB38" s="85"/>
      <c r="CXC38" s="85"/>
      <c r="CXD38" s="85"/>
      <c r="CXE38" s="85"/>
      <c r="CXF38" s="85"/>
      <c r="CXG38" s="85"/>
      <c r="CXH38" s="85"/>
      <c r="CXI38" s="85"/>
      <c r="CXJ38" s="85"/>
      <c r="CXK38" s="85"/>
      <c r="CXL38" s="85"/>
      <c r="CXM38" s="85"/>
      <c r="CXN38" s="85"/>
      <c r="CXO38" s="85"/>
      <c r="CXP38" s="85"/>
      <c r="CXQ38" s="85"/>
      <c r="CXR38" s="85"/>
      <c r="CXS38" s="85"/>
      <c r="CXT38" s="85"/>
      <c r="CXU38" s="85"/>
      <c r="CXV38" s="85"/>
      <c r="CXW38" s="85"/>
      <c r="CXX38" s="85"/>
      <c r="CXY38" s="85"/>
      <c r="CXZ38" s="85"/>
      <c r="CYA38" s="85"/>
      <c r="CYB38" s="85"/>
      <c r="CYC38" s="85"/>
      <c r="CYD38" s="85"/>
      <c r="CYE38" s="85"/>
      <c r="CYF38" s="85"/>
      <c r="CYG38" s="85"/>
      <c r="CYH38" s="85"/>
      <c r="CYI38" s="85"/>
      <c r="CYJ38" s="85"/>
      <c r="CYK38" s="85"/>
      <c r="CYL38" s="85"/>
      <c r="CYM38" s="85"/>
      <c r="CYN38" s="85"/>
      <c r="CYO38" s="85"/>
      <c r="CYP38" s="85"/>
      <c r="CYQ38" s="85"/>
      <c r="CYR38" s="85"/>
      <c r="CYS38" s="85"/>
      <c r="CYT38" s="85"/>
      <c r="CYU38" s="85"/>
      <c r="CYV38" s="85"/>
      <c r="CYW38" s="85"/>
      <c r="CYX38" s="85"/>
      <c r="CYY38" s="85"/>
      <c r="CYZ38" s="85"/>
      <c r="CZA38" s="85"/>
      <c r="CZB38" s="85"/>
      <c r="CZC38" s="85"/>
      <c r="CZD38" s="85"/>
      <c r="CZE38" s="85"/>
      <c r="CZF38" s="85"/>
      <c r="CZG38" s="85"/>
      <c r="CZH38" s="85"/>
      <c r="CZI38" s="85"/>
      <c r="CZJ38" s="85"/>
      <c r="CZK38" s="85"/>
      <c r="CZL38" s="85"/>
      <c r="CZM38" s="85"/>
      <c r="CZN38" s="85"/>
      <c r="CZO38" s="85"/>
      <c r="CZP38" s="85"/>
      <c r="CZQ38" s="85"/>
      <c r="CZR38" s="85"/>
      <c r="CZS38" s="85"/>
      <c r="CZT38" s="85"/>
      <c r="CZU38" s="85"/>
      <c r="CZV38" s="85"/>
      <c r="CZW38" s="85"/>
      <c r="CZX38" s="85"/>
      <c r="CZY38" s="85"/>
      <c r="CZZ38" s="85"/>
      <c r="DAA38" s="85"/>
      <c r="DAB38" s="85"/>
      <c r="DAC38" s="85"/>
      <c r="DAD38" s="85"/>
      <c r="DAE38" s="85"/>
      <c r="DAF38" s="85"/>
      <c r="DAG38" s="85"/>
      <c r="DAH38" s="85"/>
      <c r="DAI38" s="85"/>
      <c r="DAJ38" s="85"/>
      <c r="DAK38" s="85"/>
      <c r="DAL38" s="85"/>
      <c r="DAM38" s="85"/>
      <c r="DAN38" s="85"/>
      <c r="DAO38" s="85"/>
      <c r="DAP38" s="85"/>
      <c r="DAQ38" s="85"/>
      <c r="DAR38" s="85"/>
      <c r="DAS38" s="85"/>
      <c r="DAT38" s="85"/>
      <c r="DAU38" s="85"/>
      <c r="DAV38" s="85"/>
      <c r="DAW38" s="85"/>
      <c r="DAX38" s="85"/>
      <c r="DAY38" s="85"/>
      <c r="DAZ38" s="85"/>
      <c r="DBA38" s="85"/>
      <c r="DBB38" s="85"/>
      <c r="DBC38" s="85"/>
      <c r="DBD38" s="85"/>
      <c r="DBE38" s="85"/>
      <c r="DBF38" s="85"/>
      <c r="DBG38" s="85"/>
      <c r="DBH38" s="85"/>
      <c r="DBI38" s="85"/>
      <c r="DBJ38" s="85"/>
      <c r="DBK38" s="85"/>
      <c r="DBL38" s="85"/>
      <c r="DBM38" s="85"/>
      <c r="DBN38" s="85"/>
      <c r="DBO38" s="85"/>
      <c r="DBP38" s="85"/>
      <c r="DBQ38" s="85"/>
      <c r="DBR38" s="85"/>
      <c r="DBS38" s="85"/>
      <c r="DBT38" s="85"/>
      <c r="DBU38" s="85"/>
      <c r="DBV38" s="85"/>
      <c r="DBW38" s="85"/>
      <c r="DBX38" s="85"/>
      <c r="DBY38" s="85"/>
      <c r="DBZ38" s="85"/>
      <c r="DCA38" s="85"/>
      <c r="DCB38" s="85"/>
      <c r="DCC38" s="85"/>
      <c r="DCD38" s="85"/>
      <c r="DCE38" s="85"/>
      <c r="DCF38" s="85"/>
      <c r="DCG38" s="85"/>
      <c r="DCH38" s="85"/>
      <c r="DCI38" s="85"/>
      <c r="DCJ38" s="85"/>
      <c r="DCK38" s="85"/>
      <c r="DCL38" s="85"/>
      <c r="DCM38" s="85"/>
      <c r="DCN38" s="85"/>
      <c r="DCO38" s="85"/>
      <c r="DCP38" s="85"/>
      <c r="DCQ38" s="85"/>
      <c r="DCR38" s="85"/>
      <c r="DCS38" s="85"/>
      <c r="DCT38" s="85"/>
      <c r="DCU38" s="85"/>
      <c r="DCV38" s="85"/>
      <c r="DCW38" s="85"/>
      <c r="DCX38" s="85"/>
      <c r="DCY38" s="85"/>
      <c r="DCZ38" s="85"/>
      <c r="DDA38" s="85"/>
      <c r="DDB38" s="85"/>
      <c r="DDC38" s="85"/>
      <c r="DDD38" s="85"/>
      <c r="DDE38" s="85"/>
      <c r="DDF38" s="85"/>
      <c r="DDG38" s="85"/>
      <c r="DDH38" s="85"/>
      <c r="DDI38" s="85"/>
      <c r="DDJ38" s="85"/>
      <c r="DDK38" s="85"/>
      <c r="DDL38" s="85"/>
      <c r="DDM38" s="85"/>
      <c r="DDN38" s="85"/>
      <c r="DDO38" s="85"/>
      <c r="DDP38" s="85"/>
      <c r="DDQ38" s="85"/>
      <c r="DDR38" s="85"/>
      <c r="DDS38" s="85"/>
      <c r="DDT38" s="85"/>
      <c r="DDU38" s="85"/>
      <c r="DDV38" s="85"/>
      <c r="DDW38" s="85"/>
      <c r="DDX38" s="85"/>
      <c r="DDY38" s="85"/>
      <c r="DDZ38" s="85"/>
      <c r="DEA38" s="85"/>
      <c r="DEB38" s="85"/>
      <c r="DEC38" s="85"/>
      <c r="DED38" s="85"/>
      <c r="DEE38" s="85"/>
      <c r="DEF38" s="85"/>
      <c r="DEG38" s="85"/>
      <c r="DEH38" s="85"/>
      <c r="DEI38" s="85"/>
      <c r="DEJ38" s="85"/>
      <c r="DEK38" s="85"/>
      <c r="DEL38" s="85"/>
      <c r="DEM38" s="85"/>
      <c r="DEN38" s="85"/>
      <c r="DEO38" s="85"/>
      <c r="DEP38" s="85"/>
      <c r="DEQ38" s="85"/>
      <c r="DER38" s="85"/>
      <c r="DES38" s="85"/>
      <c r="DET38" s="85"/>
      <c r="DEU38" s="85"/>
      <c r="DEV38" s="85"/>
      <c r="DEW38" s="85"/>
      <c r="DEX38" s="85"/>
      <c r="DEY38" s="85"/>
      <c r="DEZ38" s="85"/>
      <c r="DFA38" s="85"/>
      <c r="DFB38" s="85"/>
      <c r="DFC38" s="85"/>
      <c r="DFD38" s="85"/>
      <c r="DFE38" s="85"/>
      <c r="DFF38" s="85"/>
      <c r="DFG38" s="85"/>
      <c r="DFH38" s="85"/>
      <c r="DFI38" s="85"/>
      <c r="DFJ38" s="85"/>
      <c r="DFK38" s="85"/>
      <c r="DFL38" s="85"/>
      <c r="DFM38" s="85"/>
      <c r="DFN38" s="85"/>
      <c r="DFO38" s="85"/>
      <c r="DFP38" s="85"/>
      <c r="DFQ38" s="85"/>
      <c r="DFR38" s="85"/>
      <c r="DFS38" s="85"/>
      <c r="DFT38" s="85"/>
      <c r="DFU38" s="85"/>
      <c r="DFV38" s="85"/>
      <c r="DFW38" s="85"/>
      <c r="DFX38" s="85"/>
      <c r="DFY38" s="85"/>
      <c r="DFZ38" s="85"/>
      <c r="DGA38" s="85"/>
      <c r="DGB38" s="85"/>
      <c r="DGC38" s="85"/>
      <c r="DGD38" s="85"/>
      <c r="DGE38" s="85"/>
      <c r="DGF38" s="85"/>
      <c r="DGG38" s="85"/>
      <c r="DGH38" s="85"/>
      <c r="DGI38" s="85"/>
      <c r="DGJ38" s="85"/>
      <c r="DGK38" s="85"/>
      <c r="DGL38" s="85"/>
      <c r="DGM38" s="85"/>
      <c r="DGN38" s="85"/>
      <c r="DGO38" s="85"/>
      <c r="DGP38" s="85"/>
      <c r="DGQ38" s="85"/>
      <c r="DGR38" s="85"/>
      <c r="DGS38" s="85"/>
      <c r="DGT38" s="85"/>
      <c r="DGU38" s="85"/>
      <c r="DGV38" s="85"/>
      <c r="DGW38" s="85"/>
      <c r="DGX38" s="85"/>
      <c r="DGY38" s="85"/>
      <c r="DGZ38" s="85"/>
      <c r="DHA38" s="85"/>
      <c r="DHB38" s="85"/>
      <c r="DHC38" s="85"/>
      <c r="DHD38" s="85"/>
      <c r="DHE38" s="85"/>
      <c r="DHF38" s="85"/>
      <c r="DHG38" s="85"/>
      <c r="DHH38" s="85"/>
      <c r="DHI38" s="85"/>
      <c r="DHJ38" s="85"/>
      <c r="DHK38" s="85"/>
      <c r="DHL38" s="85"/>
      <c r="DHM38" s="85"/>
      <c r="DHN38" s="85"/>
      <c r="DHO38" s="85"/>
      <c r="DHP38" s="85"/>
      <c r="DHQ38" s="85"/>
      <c r="DHR38" s="85"/>
      <c r="DHS38" s="85"/>
      <c r="DHT38" s="85"/>
      <c r="DHU38" s="85"/>
      <c r="DHV38" s="85"/>
      <c r="DHW38" s="85"/>
      <c r="DHX38" s="85"/>
      <c r="DHY38" s="85"/>
      <c r="DHZ38" s="85"/>
      <c r="DIA38" s="85"/>
      <c r="DIB38" s="85"/>
      <c r="DIC38" s="85"/>
      <c r="DID38" s="85"/>
      <c r="DIE38" s="85"/>
      <c r="DIF38" s="85"/>
      <c r="DIG38" s="85"/>
      <c r="DIH38" s="85"/>
      <c r="DII38" s="85"/>
      <c r="DIJ38" s="85"/>
      <c r="DIK38" s="85"/>
      <c r="DIL38" s="85"/>
      <c r="DIM38" s="85"/>
      <c r="DIN38" s="85"/>
      <c r="DIO38" s="85"/>
      <c r="DIP38" s="85"/>
      <c r="DIQ38" s="85"/>
      <c r="DIR38" s="85"/>
      <c r="DIS38" s="85"/>
      <c r="DIT38" s="85"/>
      <c r="DIU38" s="85"/>
      <c r="DIV38" s="85"/>
      <c r="DIW38" s="85"/>
      <c r="DIX38" s="85"/>
      <c r="DIY38" s="85"/>
      <c r="DIZ38" s="85"/>
      <c r="DJA38" s="85"/>
      <c r="DJB38" s="85"/>
      <c r="DJC38" s="85"/>
      <c r="DJD38" s="85"/>
      <c r="DJE38" s="85"/>
      <c r="DJF38" s="85"/>
      <c r="DJG38" s="85"/>
      <c r="DJH38" s="85"/>
      <c r="DJI38" s="85"/>
      <c r="DJJ38" s="85"/>
      <c r="DJK38" s="85"/>
      <c r="DJL38" s="85"/>
      <c r="DJM38" s="85"/>
      <c r="DJN38" s="85"/>
      <c r="DJO38" s="85"/>
      <c r="DJP38" s="85"/>
      <c r="DJQ38" s="85"/>
      <c r="DJR38" s="85"/>
      <c r="DJS38" s="85"/>
      <c r="DJT38" s="85"/>
      <c r="DJU38" s="85"/>
      <c r="DJV38" s="85"/>
      <c r="DJW38" s="85"/>
      <c r="DJX38" s="85"/>
      <c r="DJY38" s="85"/>
      <c r="DJZ38" s="85"/>
      <c r="DKA38" s="85"/>
      <c r="DKB38" s="85"/>
      <c r="DKC38" s="85"/>
      <c r="DKD38" s="85"/>
      <c r="DKE38" s="85"/>
      <c r="DKF38" s="85"/>
      <c r="DKG38" s="85"/>
      <c r="DKH38" s="85"/>
      <c r="DKI38" s="85"/>
      <c r="DKJ38" s="85"/>
      <c r="DKK38" s="85"/>
      <c r="DKL38" s="85"/>
      <c r="DKM38" s="85"/>
      <c r="DKN38" s="85"/>
      <c r="DKO38" s="85"/>
      <c r="DKP38" s="85"/>
      <c r="DKQ38" s="85"/>
      <c r="DKR38" s="85"/>
      <c r="DKS38" s="85"/>
      <c r="DKT38" s="85"/>
      <c r="DKU38" s="85"/>
      <c r="DKV38" s="85"/>
      <c r="DKW38" s="85"/>
      <c r="DKX38" s="85"/>
      <c r="DKY38" s="85"/>
      <c r="DKZ38" s="85"/>
      <c r="DLA38" s="85"/>
      <c r="DLB38" s="85"/>
      <c r="DLC38" s="85"/>
      <c r="DLD38" s="85"/>
      <c r="DLE38" s="85"/>
      <c r="DLF38" s="85"/>
      <c r="DLG38" s="85"/>
      <c r="DLH38" s="85"/>
      <c r="DLI38" s="85"/>
      <c r="DLJ38" s="85"/>
      <c r="DLK38" s="85"/>
      <c r="DLL38" s="85"/>
      <c r="DLM38" s="85"/>
      <c r="DLN38" s="85"/>
      <c r="DLO38" s="85"/>
      <c r="DLP38" s="85"/>
      <c r="DLQ38" s="85"/>
      <c r="DLR38" s="85"/>
      <c r="DLS38" s="85"/>
      <c r="DLT38" s="85"/>
      <c r="DLU38" s="85"/>
      <c r="DLV38" s="85"/>
      <c r="DLW38" s="85"/>
      <c r="DLX38" s="85"/>
      <c r="DLY38" s="85"/>
      <c r="DLZ38" s="85"/>
      <c r="DMA38" s="85"/>
      <c r="DMB38" s="85"/>
      <c r="DMC38" s="85"/>
      <c r="DMD38" s="85"/>
      <c r="DME38" s="85"/>
      <c r="DMF38" s="85"/>
      <c r="DMG38" s="85"/>
      <c r="DMH38" s="85"/>
      <c r="DMI38" s="85"/>
      <c r="DMJ38" s="85"/>
      <c r="DMK38" s="85"/>
      <c r="DML38" s="85"/>
      <c r="DMM38" s="85"/>
      <c r="DMN38" s="85"/>
      <c r="DMO38" s="85"/>
      <c r="DMP38" s="85"/>
      <c r="DMQ38" s="85"/>
      <c r="DMR38" s="85"/>
      <c r="DMS38" s="85"/>
      <c r="DMT38" s="85"/>
      <c r="DMU38" s="85"/>
      <c r="DMV38" s="85"/>
      <c r="DMW38" s="85"/>
      <c r="DMX38" s="85"/>
      <c r="DMY38" s="85"/>
      <c r="DMZ38" s="85"/>
      <c r="DNA38" s="85"/>
      <c r="DNB38" s="85"/>
      <c r="DNC38" s="85"/>
      <c r="DND38" s="85"/>
      <c r="DNE38" s="85"/>
      <c r="DNF38" s="85"/>
      <c r="DNG38" s="85"/>
      <c r="DNH38" s="85"/>
      <c r="DNI38" s="85"/>
      <c r="DNJ38" s="85"/>
      <c r="DNK38" s="85"/>
      <c r="DNL38" s="85"/>
      <c r="DNM38" s="85"/>
      <c r="DNN38" s="85"/>
      <c r="DNO38" s="85"/>
      <c r="DNP38" s="85"/>
      <c r="DNQ38" s="85"/>
      <c r="DNR38" s="85"/>
      <c r="DNS38" s="85"/>
      <c r="DNT38" s="85"/>
      <c r="DNU38" s="85"/>
      <c r="DNV38" s="85"/>
      <c r="DNW38" s="85"/>
      <c r="DNX38" s="85"/>
      <c r="DNY38" s="85"/>
      <c r="DNZ38" s="85"/>
      <c r="DOA38" s="85"/>
      <c r="DOB38" s="85"/>
      <c r="DOC38" s="85"/>
      <c r="DOD38" s="85"/>
      <c r="DOE38" s="85"/>
      <c r="DOF38" s="85"/>
      <c r="DOG38" s="85"/>
      <c r="DOH38" s="85"/>
      <c r="DOI38" s="85"/>
      <c r="DOJ38" s="85"/>
      <c r="DOK38" s="85"/>
      <c r="DOL38" s="85"/>
      <c r="DOM38" s="85"/>
      <c r="DON38" s="85"/>
      <c r="DOO38" s="85"/>
      <c r="DOP38" s="85"/>
      <c r="DOQ38" s="85"/>
      <c r="DOR38" s="85"/>
      <c r="DOS38" s="85"/>
      <c r="DOT38" s="85"/>
      <c r="DOU38" s="85"/>
      <c r="DOV38" s="85"/>
      <c r="DOW38" s="85"/>
      <c r="DOX38" s="85"/>
      <c r="DOY38" s="85"/>
      <c r="DOZ38" s="85"/>
      <c r="DPA38" s="85"/>
      <c r="DPB38" s="85"/>
      <c r="DPC38" s="85"/>
      <c r="DPD38" s="85"/>
      <c r="DPE38" s="85"/>
      <c r="DPF38" s="85"/>
      <c r="DPG38" s="85"/>
      <c r="DPH38" s="85"/>
      <c r="DPI38" s="85"/>
      <c r="DPJ38" s="85"/>
      <c r="DPK38" s="85"/>
      <c r="DPL38" s="85"/>
      <c r="DPM38" s="85"/>
      <c r="DPN38" s="85"/>
      <c r="DPO38" s="85"/>
      <c r="DPP38" s="85"/>
      <c r="DPQ38" s="85"/>
      <c r="DPR38" s="85"/>
      <c r="DPS38" s="85"/>
      <c r="DPT38" s="85"/>
      <c r="DPU38" s="85"/>
      <c r="DPV38" s="85"/>
      <c r="DPW38" s="85"/>
      <c r="DPX38" s="85"/>
      <c r="DPY38" s="85"/>
      <c r="DPZ38" s="85"/>
      <c r="DQA38" s="85"/>
      <c r="DQB38" s="85"/>
      <c r="DQC38" s="85"/>
      <c r="DQD38" s="85"/>
      <c r="DQE38" s="85"/>
      <c r="DQF38" s="85"/>
      <c r="DQG38" s="85"/>
      <c r="DQH38" s="85"/>
      <c r="DQI38" s="85"/>
      <c r="DQJ38" s="85"/>
      <c r="DQK38" s="85"/>
      <c r="DQL38" s="85"/>
      <c r="DQM38" s="85"/>
      <c r="DQN38" s="85"/>
      <c r="DQO38" s="85"/>
      <c r="DQP38" s="85"/>
      <c r="DQQ38" s="85"/>
      <c r="DQR38" s="85"/>
      <c r="DQS38" s="85"/>
      <c r="DQT38" s="85"/>
      <c r="DQU38" s="85"/>
      <c r="DQV38" s="85"/>
      <c r="DQW38" s="85"/>
      <c r="DQX38" s="85"/>
      <c r="DQY38" s="85"/>
      <c r="DQZ38" s="85"/>
      <c r="DRA38" s="85"/>
      <c r="DRB38" s="85"/>
      <c r="DRC38" s="85"/>
      <c r="DRD38" s="85"/>
      <c r="DRE38" s="85"/>
      <c r="DRF38" s="85"/>
      <c r="DRG38" s="85"/>
      <c r="DRH38" s="85"/>
      <c r="DRI38" s="85"/>
      <c r="DRJ38" s="85"/>
      <c r="DRK38" s="85"/>
      <c r="DRL38" s="85"/>
      <c r="DRM38" s="85"/>
      <c r="DRN38" s="85"/>
      <c r="DRO38" s="85"/>
      <c r="DRP38" s="85"/>
      <c r="DRQ38" s="85"/>
      <c r="DRR38" s="85"/>
      <c r="DRS38" s="85"/>
      <c r="DRT38" s="85"/>
      <c r="DRU38" s="85"/>
      <c r="DRV38" s="85"/>
      <c r="DRW38" s="85"/>
      <c r="DRX38" s="85"/>
      <c r="DRY38" s="85"/>
      <c r="DRZ38" s="85"/>
      <c r="DSA38" s="85"/>
      <c r="DSB38" s="85"/>
      <c r="DSC38" s="85"/>
      <c r="DSD38" s="85"/>
      <c r="DSE38" s="85"/>
      <c r="DSF38" s="85"/>
      <c r="DSG38" s="85"/>
      <c r="DSH38" s="85"/>
      <c r="DSI38" s="85"/>
      <c r="DSJ38" s="85"/>
      <c r="DSK38" s="85"/>
      <c r="DSL38" s="85"/>
      <c r="DSM38" s="85"/>
      <c r="DSN38" s="85"/>
      <c r="DSO38" s="85"/>
      <c r="DSP38" s="85"/>
      <c r="DSQ38" s="85"/>
      <c r="DSR38" s="85"/>
      <c r="DSS38" s="85"/>
      <c r="DST38" s="85"/>
      <c r="DSU38" s="85"/>
      <c r="DSV38" s="85"/>
      <c r="DSW38" s="85"/>
      <c r="DSX38" s="85"/>
      <c r="DSY38" s="85"/>
      <c r="DSZ38" s="85"/>
      <c r="DTA38" s="85"/>
      <c r="DTB38" s="85"/>
      <c r="DTC38" s="85"/>
      <c r="DTD38" s="85"/>
      <c r="DTE38" s="85"/>
      <c r="DTF38" s="85"/>
      <c r="DTG38" s="85"/>
      <c r="DTH38" s="85"/>
      <c r="DTI38" s="85"/>
      <c r="DTJ38" s="85"/>
      <c r="DTK38" s="85"/>
      <c r="DTL38" s="85"/>
      <c r="DTM38" s="85"/>
      <c r="DTN38" s="85"/>
      <c r="DTO38" s="85"/>
      <c r="DTP38" s="85"/>
      <c r="DTQ38" s="85"/>
      <c r="DTR38" s="85"/>
      <c r="DTS38" s="85"/>
      <c r="DTT38" s="85"/>
      <c r="DTU38" s="85"/>
      <c r="DTV38" s="85"/>
      <c r="DTW38" s="85"/>
      <c r="DTX38" s="85"/>
      <c r="DTY38" s="85"/>
      <c r="DTZ38" s="85"/>
      <c r="DUA38" s="85"/>
      <c r="DUB38" s="85"/>
      <c r="DUC38" s="85"/>
      <c r="DUD38" s="85"/>
      <c r="DUE38" s="85"/>
      <c r="DUF38" s="85"/>
      <c r="DUG38" s="85"/>
      <c r="DUH38" s="85"/>
      <c r="DUI38" s="85"/>
      <c r="DUJ38" s="85"/>
      <c r="DUK38" s="85"/>
      <c r="DUL38" s="85"/>
      <c r="DUM38" s="85"/>
      <c r="DUN38" s="85"/>
      <c r="DUO38" s="85"/>
      <c r="DUP38" s="85"/>
      <c r="DUQ38" s="85"/>
      <c r="DUR38" s="85"/>
      <c r="DUS38" s="85"/>
      <c r="DUT38" s="85"/>
      <c r="DUU38" s="85"/>
      <c r="DUV38" s="85"/>
      <c r="DUW38" s="85"/>
      <c r="DUX38" s="85"/>
      <c r="DUY38" s="85"/>
      <c r="DUZ38" s="85"/>
      <c r="DVA38" s="85"/>
      <c r="DVB38" s="85"/>
      <c r="DVC38" s="85"/>
      <c r="DVD38" s="85"/>
      <c r="DVE38" s="85"/>
      <c r="DVF38" s="85"/>
      <c r="DVG38" s="85"/>
      <c r="DVH38" s="85"/>
      <c r="DVI38" s="85"/>
      <c r="DVJ38" s="85"/>
      <c r="DVK38" s="85"/>
      <c r="DVL38" s="85"/>
      <c r="DVM38" s="85"/>
      <c r="DVN38" s="85"/>
      <c r="DVO38" s="85"/>
      <c r="DVP38" s="85"/>
      <c r="DVQ38" s="85"/>
      <c r="DVR38" s="85"/>
      <c r="DVS38" s="85"/>
      <c r="DVT38" s="85"/>
      <c r="DVU38" s="85"/>
      <c r="DVV38" s="85"/>
      <c r="DVW38" s="85"/>
      <c r="DVX38" s="85"/>
      <c r="DVY38" s="85"/>
      <c r="DVZ38" s="85"/>
      <c r="DWA38" s="85"/>
      <c r="DWB38" s="85"/>
      <c r="DWC38" s="85"/>
      <c r="DWD38" s="85"/>
      <c r="DWE38" s="85"/>
      <c r="DWF38" s="85"/>
      <c r="DWG38" s="85"/>
      <c r="DWH38" s="85"/>
      <c r="DWI38" s="85"/>
      <c r="DWJ38" s="85"/>
      <c r="DWK38" s="85"/>
      <c r="DWL38" s="85"/>
      <c r="DWM38" s="85"/>
      <c r="DWN38" s="85"/>
      <c r="DWO38" s="85"/>
      <c r="DWP38" s="85"/>
      <c r="DWQ38" s="85"/>
      <c r="DWR38" s="85"/>
      <c r="DWS38" s="85"/>
      <c r="DWT38" s="85"/>
      <c r="DWU38" s="85"/>
      <c r="DWV38" s="85"/>
      <c r="DWW38" s="85"/>
      <c r="DWX38" s="85"/>
      <c r="DWY38" s="85"/>
      <c r="DWZ38" s="85"/>
      <c r="DXA38" s="85"/>
      <c r="DXB38" s="85"/>
      <c r="DXC38" s="85"/>
      <c r="DXD38" s="85"/>
      <c r="DXE38" s="85"/>
      <c r="DXF38" s="85"/>
      <c r="DXG38" s="85"/>
      <c r="DXH38" s="85"/>
      <c r="DXI38" s="85"/>
      <c r="DXJ38" s="85"/>
      <c r="DXK38" s="85"/>
      <c r="DXL38" s="85"/>
      <c r="DXM38" s="85"/>
      <c r="DXN38" s="85"/>
      <c r="DXO38" s="85"/>
      <c r="DXP38" s="85"/>
      <c r="DXQ38" s="85"/>
      <c r="DXR38" s="85"/>
      <c r="DXS38" s="85"/>
      <c r="DXT38" s="85"/>
      <c r="DXU38" s="85"/>
      <c r="DXV38" s="85"/>
      <c r="DXW38" s="85"/>
      <c r="DXX38" s="85"/>
      <c r="DXY38" s="85"/>
      <c r="DXZ38" s="85"/>
      <c r="DYA38" s="85"/>
      <c r="DYB38" s="85"/>
      <c r="DYC38" s="85"/>
      <c r="DYD38" s="85"/>
      <c r="DYE38" s="85"/>
      <c r="DYF38" s="85"/>
      <c r="DYG38" s="85"/>
      <c r="DYH38" s="85"/>
      <c r="DYI38" s="85"/>
      <c r="DYJ38" s="85"/>
      <c r="DYK38" s="85"/>
      <c r="DYL38" s="85"/>
      <c r="DYM38" s="85"/>
      <c r="DYN38" s="85"/>
      <c r="DYO38" s="85"/>
      <c r="DYP38" s="85"/>
      <c r="DYQ38" s="85"/>
      <c r="DYR38" s="85"/>
      <c r="DYS38" s="85"/>
      <c r="DYT38" s="85"/>
      <c r="DYU38" s="85"/>
      <c r="DYV38" s="85"/>
      <c r="DYW38" s="85"/>
      <c r="DYX38" s="85"/>
      <c r="DYY38" s="85"/>
      <c r="DYZ38" s="85"/>
      <c r="DZA38" s="85"/>
      <c r="DZB38" s="85"/>
      <c r="DZC38" s="85"/>
      <c r="DZD38" s="85"/>
      <c r="DZE38" s="85"/>
      <c r="DZF38" s="85"/>
      <c r="DZG38" s="85"/>
      <c r="DZH38" s="85"/>
      <c r="DZI38" s="85"/>
      <c r="DZJ38" s="85"/>
      <c r="DZK38" s="85"/>
      <c r="DZL38" s="85"/>
      <c r="DZM38" s="85"/>
      <c r="DZN38" s="85"/>
      <c r="DZO38" s="85"/>
      <c r="DZP38" s="85"/>
      <c r="DZQ38" s="85"/>
      <c r="DZR38" s="85"/>
      <c r="DZS38" s="85"/>
      <c r="DZT38" s="85"/>
      <c r="DZU38" s="85"/>
      <c r="DZV38" s="85"/>
      <c r="DZW38" s="85"/>
      <c r="DZX38" s="85"/>
      <c r="DZY38" s="85"/>
      <c r="DZZ38" s="85"/>
      <c r="EAA38" s="85"/>
      <c r="EAB38" s="85"/>
      <c r="EAC38" s="85"/>
      <c r="EAD38" s="85"/>
      <c r="EAE38" s="85"/>
      <c r="EAF38" s="85"/>
      <c r="EAG38" s="85"/>
      <c r="EAH38" s="85"/>
      <c r="EAI38" s="85"/>
      <c r="EAJ38" s="85"/>
      <c r="EAK38" s="85"/>
      <c r="EAL38" s="85"/>
      <c r="EAM38" s="85"/>
      <c r="EAN38" s="85"/>
      <c r="EAO38" s="85"/>
      <c r="EAP38" s="85"/>
      <c r="EAQ38" s="85"/>
      <c r="EAR38" s="85"/>
      <c r="EAS38" s="85"/>
      <c r="EAT38" s="85"/>
      <c r="EAU38" s="85"/>
      <c r="EAV38" s="85"/>
      <c r="EAW38" s="85"/>
      <c r="EAX38" s="85"/>
      <c r="EAY38" s="85"/>
      <c r="EAZ38" s="85"/>
      <c r="EBA38" s="85"/>
      <c r="EBB38" s="85"/>
      <c r="EBC38" s="85"/>
      <c r="EBD38" s="85"/>
      <c r="EBE38" s="85"/>
      <c r="EBF38" s="85"/>
      <c r="EBG38" s="85"/>
      <c r="EBH38" s="85"/>
      <c r="EBI38" s="85"/>
      <c r="EBJ38" s="85"/>
      <c r="EBK38" s="85"/>
      <c r="EBL38" s="85"/>
      <c r="EBM38" s="85"/>
      <c r="EBN38" s="85"/>
      <c r="EBO38" s="85"/>
      <c r="EBP38" s="85"/>
      <c r="EBQ38" s="85"/>
      <c r="EBR38" s="85"/>
      <c r="EBS38" s="85"/>
      <c r="EBT38" s="85"/>
      <c r="EBU38" s="85"/>
      <c r="EBV38" s="85"/>
      <c r="EBW38" s="85"/>
      <c r="EBX38" s="85"/>
      <c r="EBY38" s="85"/>
      <c r="EBZ38" s="85"/>
      <c r="ECA38" s="85"/>
      <c r="ECB38" s="85"/>
      <c r="ECC38" s="85"/>
      <c r="ECD38" s="85"/>
      <c r="ECE38" s="85"/>
      <c r="ECF38" s="85"/>
      <c r="ECG38" s="85"/>
      <c r="ECH38" s="85"/>
      <c r="ECI38" s="85"/>
      <c r="ECJ38" s="85"/>
      <c r="ECK38" s="85"/>
      <c r="ECL38" s="85"/>
      <c r="ECM38" s="85"/>
      <c r="ECN38" s="85"/>
      <c r="ECO38" s="85"/>
      <c r="ECP38" s="85"/>
      <c r="ECQ38" s="85"/>
      <c r="ECR38" s="85"/>
      <c r="ECS38" s="85"/>
      <c r="ECT38" s="85"/>
      <c r="ECU38" s="85"/>
      <c r="ECV38" s="85"/>
      <c r="ECW38" s="85"/>
      <c r="ECX38" s="85"/>
      <c r="ECY38" s="85"/>
      <c r="ECZ38" s="85"/>
      <c r="EDA38" s="85"/>
      <c r="EDB38" s="85"/>
      <c r="EDC38" s="85"/>
      <c r="EDD38" s="85"/>
      <c r="EDE38" s="85"/>
      <c r="EDF38" s="85"/>
      <c r="EDG38" s="85"/>
      <c r="EDH38" s="85"/>
      <c r="EDI38" s="85"/>
      <c r="EDJ38" s="85"/>
      <c r="EDK38" s="85"/>
      <c r="EDL38" s="85"/>
      <c r="EDM38" s="85"/>
      <c r="EDN38" s="85"/>
      <c r="EDO38" s="85"/>
      <c r="EDP38" s="85"/>
      <c r="EDQ38" s="85"/>
      <c r="EDR38" s="85"/>
      <c r="EDS38" s="85"/>
      <c r="EDT38" s="85"/>
      <c r="EDU38" s="85"/>
      <c r="EDV38" s="85"/>
      <c r="EDW38" s="85"/>
      <c r="EDX38" s="85"/>
      <c r="EDY38" s="85"/>
      <c r="EDZ38" s="85"/>
      <c r="EEA38" s="85"/>
      <c r="EEB38" s="85"/>
      <c r="EEC38" s="85"/>
      <c r="EED38" s="85"/>
      <c r="EEE38" s="85"/>
      <c r="EEF38" s="85"/>
      <c r="EEG38" s="85"/>
      <c r="EEH38" s="85"/>
      <c r="EEI38" s="85"/>
      <c r="EEJ38" s="85"/>
      <c r="EEK38" s="85"/>
      <c r="EEL38" s="85"/>
      <c r="EEM38" s="85"/>
      <c r="EEN38" s="85"/>
      <c r="EEO38" s="85"/>
      <c r="EEP38" s="85"/>
      <c r="EEQ38" s="85"/>
      <c r="EER38" s="85"/>
      <c r="EES38" s="85"/>
      <c r="EET38" s="85"/>
      <c r="EEU38" s="85"/>
      <c r="EEV38" s="85"/>
      <c r="EEW38" s="85"/>
      <c r="EEX38" s="85"/>
      <c r="EEY38" s="85"/>
      <c r="EEZ38" s="85"/>
      <c r="EFA38" s="85"/>
      <c r="EFB38" s="85"/>
      <c r="EFC38" s="85"/>
      <c r="EFD38" s="85"/>
      <c r="EFE38" s="85"/>
      <c r="EFF38" s="85"/>
      <c r="EFG38" s="85"/>
      <c r="EFH38" s="85"/>
      <c r="EFI38" s="85"/>
      <c r="EFJ38" s="85"/>
      <c r="EFK38" s="85"/>
      <c r="EFL38" s="85"/>
      <c r="EFM38" s="85"/>
      <c r="EFN38" s="85"/>
      <c r="EFO38" s="85"/>
      <c r="EFP38" s="85"/>
      <c r="EFQ38" s="85"/>
      <c r="EFR38" s="85"/>
      <c r="EFS38" s="85"/>
      <c r="EFT38" s="85"/>
      <c r="EFU38" s="85"/>
      <c r="EFV38" s="85"/>
      <c r="EFW38" s="85"/>
      <c r="EFX38" s="85"/>
      <c r="EFY38" s="85"/>
      <c r="EFZ38" s="85"/>
      <c r="EGA38" s="85"/>
      <c r="EGB38" s="85"/>
      <c r="EGC38" s="85"/>
      <c r="EGD38" s="85"/>
      <c r="EGE38" s="85"/>
      <c r="EGF38" s="85"/>
      <c r="EGG38" s="85"/>
      <c r="EGH38" s="85"/>
      <c r="EGI38" s="85"/>
      <c r="EGJ38" s="85"/>
      <c r="EGK38" s="85"/>
      <c r="EGL38" s="85"/>
      <c r="EGM38" s="85"/>
      <c r="EGN38" s="85"/>
      <c r="EGO38" s="85"/>
      <c r="EGP38" s="85"/>
      <c r="EGQ38" s="85"/>
      <c r="EGR38" s="85"/>
      <c r="EGS38" s="85"/>
      <c r="EGT38" s="85"/>
      <c r="EGU38" s="85"/>
      <c r="EGV38" s="85"/>
      <c r="EGW38" s="85"/>
      <c r="EGX38" s="85"/>
      <c r="EGY38" s="85"/>
      <c r="EGZ38" s="85"/>
      <c r="EHA38" s="85"/>
      <c r="EHB38" s="85"/>
      <c r="EHC38" s="85"/>
      <c r="EHD38" s="85"/>
      <c r="EHE38" s="85"/>
      <c r="EHF38" s="85"/>
      <c r="EHG38" s="85"/>
      <c r="EHH38" s="85"/>
      <c r="EHI38" s="85"/>
      <c r="EHJ38" s="85"/>
      <c r="EHK38" s="85"/>
      <c r="EHL38" s="85"/>
      <c r="EHM38" s="85"/>
      <c r="EHN38" s="85"/>
      <c r="EHO38" s="85"/>
      <c r="EHP38" s="85"/>
      <c r="EHQ38" s="85"/>
      <c r="EHR38" s="85"/>
      <c r="EHS38" s="85"/>
      <c r="EHT38" s="85"/>
      <c r="EHU38" s="85"/>
      <c r="EHV38" s="85"/>
      <c r="EHW38" s="85"/>
      <c r="EHX38" s="85"/>
      <c r="EHY38" s="85"/>
      <c r="EHZ38" s="85"/>
      <c r="EIA38" s="85"/>
      <c r="EIB38" s="85"/>
      <c r="EIC38" s="85"/>
      <c r="EID38" s="85"/>
      <c r="EIE38" s="85"/>
      <c r="EIF38" s="85"/>
      <c r="EIG38" s="85"/>
      <c r="EIH38" s="85"/>
      <c r="EII38" s="85"/>
      <c r="EIJ38" s="85"/>
      <c r="EIK38" s="85"/>
      <c r="EIL38" s="85"/>
      <c r="EIM38" s="85"/>
      <c r="EIN38" s="85"/>
      <c r="EIO38" s="85"/>
      <c r="EIP38" s="85"/>
      <c r="EIQ38" s="85"/>
      <c r="EIR38" s="85"/>
      <c r="EIS38" s="85"/>
      <c r="EIT38" s="85"/>
      <c r="EIU38" s="85"/>
      <c r="EIV38" s="85"/>
      <c r="EIW38" s="85"/>
      <c r="EIX38" s="85"/>
      <c r="EIY38" s="85"/>
      <c r="EIZ38" s="85"/>
      <c r="EJA38" s="85"/>
      <c r="EJB38" s="85"/>
      <c r="EJC38" s="85"/>
      <c r="EJD38" s="85"/>
      <c r="EJE38" s="85"/>
      <c r="EJF38" s="85"/>
      <c r="EJG38" s="85"/>
      <c r="EJH38" s="85"/>
      <c r="EJI38" s="85"/>
      <c r="EJJ38" s="85"/>
      <c r="EJK38" s="85"/>
      <c r="EJL38" s="85"/>
      <c r="EJM38" s="85"/>
      <c r="EJN38" s="85"/>
      <c r="EJO38" s="85"/>
      <c r="EJP38" s="85"/>
      <c r="EJQ38" s="85"/>
      <c r="EJR38" s="85"/>
      <c r="EJS38" s="85"/>
      <c r="EJT38" s="85"/>
      <c r="EJU38" s="85"/>
      <c r="EJV38" s="85"/>
      <c r="EJW38" s="85"/>
      <c r="EJX38" s="85"/>
      <c r="EJY38" s="85"/>
      <c r="EJZ38" s="85"/>
      <c r="EKA38" s="85"/>
      <c r="EKB38" s="85"/>
      <c r="EKC38" s="85"/>
      <c r="EKD38" s="85"/>
      <c r="EKE38" s="85"/>
      <c r="EKF38" s="85"/>
      <c r="EKG38" s="85"/>
      <c r="EKH38" s="85"/>
      <c r="EKI38" s="85"/>
      <c r="EKJ38" s="85"/>
      <c r="EKK38" s="85"/>
      <c r="EKL38" s="85"/>
      <c r="EKM38" s="85"/>
      <c r="EKN38" s="85"/>
      <c r="EKO38" s="85"/>
      <c r="EKP38" s="85"/>
      <c r="EKQ38" s="85"/>
      <c r="EKR38" s="85"/>
      <c r="EKS38" s="85"/>
      <c r="EKT38" s="85"/>
      <c r="EKU38" s="85"/>
      <c r="EKV38" s="85"/>
      <c r="EKW38" s="85"/>
      <c r="EKX38" s="85"/>
      <c r="EKY38" s="85"/>
      <c r="EKZ38" s="85"/>
      <c r="ELA38" s="85"/>
      <c r="ELB38" s="85"/>
      <c r="ELC38" s="85"/>
      <c r="ELD38" s="85"/>
      <c r="ELE38" s="85"/>
      <c r="ELF38" s="85"/>
      <c r="ELG38" s="85"/>
      <c r="ELH38" s="85"/>
      <c r="ELI38" s="85"/>
      <c r="ELJ38" s="85"/>
      <c r="ELK38" s="85"/>
      <c r="ELL38" s="85"/>
      <c r="ELM38" s="85"/>
      <c r="ELN38" s="85"/>
      <c r="ELO38" s="85"/>
      <c r="ELP38" s="85"/>
      <c r="ELQ38" s="85"/>
      <c r="ELR38" s="85"/>
      <c r="ELS38" s="85"/>
      <c r="ELT38" s="85"/>
      <c r="ELU38" s="85"/>
      <c r="ELV38" s="85"/>
      <c r="ELW38" s="85"/>
      <c r="ELX38" s="85"/>
      <c r="ELY38" s="85"/>
      <c r="ELZ38" s="85"/>
      <c r="EMA38" s="85"/>
      <c r="EMB38" s="85"/>
      <c r="EMC38" s="85"/>
      <c r="EMD38" s="85"/>
      <c r="EME38" s="85"/>
      <c r="EMF38" s="85"/>
      <c r="EMG38" s="85"/>
      <c r="EMH38" s="85"/>
      <c r="EMI38" s="85"/>
      <c r="EMJ38" s="85"/>
      <c r="EMK38" s="85"/>
      <c r="EML38" s="85"/>
      <c r="EMM38" s="85"/>
      <c r="EMN38" s="85"/>
      <c r="EMO38" s="85"/>
      <c r="EMP38" s="85"/>
      <c r="EMQ38" s="85"/>
      <c r="EMR38" s="85"/>
      <c r="EMS38" s="85"/>
      <c r="EMT38" s="85"/>
      <c r="EMU38" s="85"/>
      <c r="EMV38" s="85"/>
      <c r="EMW38" s="85"/>
      <c r="EMX38" s="85"/>
      <c r="EMY38" s="85"/>
      <c r="EMZ38" s="85"/>
      <c r="ENA38" s="85"/>
      <c r="ENB38" s="85"/>
      <c r="ENC38" s="85"/>
      <c r="END38" s="85"/>
      <c r="ENE38" s="85"/>
      <c r="ENF38" s="85"/>
      <c r="ENG38" s="85"/>
      <c r="ENH38" s="85"/>
      <c r="ENI38" s="85"/>
      <c r="ENJ38" s="85"/>
      <c r="ENK38" s="85"/>
      <c r="ENL38" s="85"/>
      <c r="ENM38" s="85"/>
      <c r="ENN38" s="85"/>
      <c r="ENO38" s="85"/>
      <c r="ENP38" s="85"/>
      <c r="ENQ38" s="85"/>
      <c r="ENR38" s="85"/>
      <c r="ENS38" s="85"/>
      <c r="ENT38" s="85"/>
      <c r="ENU38" s="85"/>
      <c r="ENV38" s="85"/>
      <c r="ENW38" s="85"/>
      <c r="ENX38" s="85"/>
      <c r="ENY38" s="85"/>
      <c r="ENZ38" s="85"/>
      <c r="EOA38" s="85"/>
      <c r="EOB38" s="85"/>
      <c r="EOC38" s="85"/>
      <c r="EOD38" s="85"/>
      <c r="EOE38" s="85"/>
      <c r="EOF38" s="85"/>
      <c r="EOG38" s="85"/>
      <c r="EOH38" s="85"/>
      <c r="EOI38" s="85"/>
      <c r="EOJ38" s="85"/>
      <c r="EOK38" s="85"/>
      <c r="EOL38" s="85"/>
      <c r="EOM38" s="85"/>
      <c r="EON38" s="85"/>
      <c r="EOO38" s="85"/>
      <c r="EOP38" s="85"/>
      <c r="EOQ38" s="85"/>
      <c r="EOR38" s="85"/>
      <c r="EOS38" s="85"/>
      <c r="EOT38" s="85"/>
      <c r="EOU38" s="85"/>
      <c r="EOV38" s="85"/>
      <c r="EOW38" s="85"/>
      <c r="EOX38" s="85"/>
      <c r="EOY38" s="85"/>
      <c r="EOZ38" s="85"/>
      <c r="EPA38" s="85"/>
      <c r="EPB38" s="85"/>
      <c r="EPC38" s="85"/>
      <c r="EPD38" s="85"/>
      <c r="EPE38" s="85"/>
      <c r="EPF38" s="85"/>
      <c r="EPG38" s="85"/>
      <c r="EPH38" s="85"/>
      <c r="EPI38" s="85"/>
      <c r="EPJ38" s="85"/>
      <c r="EPK38" s="85"/>
      <c r="EPL38" s="85"/>
      <c r="EPM38" s="85"/>
      <c r="EPN38" s="85"/>
      <c r="EPO38" s="85"/>
      <c r="EPP38" s="85"/>
      <c r="EPQ38" s="85"/>
      <c r="EPR38" s="85"/>
      <c r="EPS38" s="85"/>
      <c r="EPT38" s="85"/>
      <c r="EPU38" s="85"/>
      <c r="EPV38" s="85"/>
      <c r="EPW38" s="85"/>
      <c r="EPX38" s="85"/>
      <c r="EPY38" s="85"/>
      <c r="EPZ38" s="85"/>
      <c r="EQA38" s="85"/>
      <c r="EQB38" s="85"/>
      <c r="EQC38" s="85"/>
      <c r="EQD38" s="85"/>
      <c r="EQE38" s="85"/>
      <c r="EQF38" s="85"/>
      <c r="EQG38" s="85"/>
      <c r="EQH38" s="85"/>
      <c r="EQI38" s="85"/>
      <c r="EQJ38" s="85"/>
      <c r="EQK38" s="85"/>
      <c r="EQL38" s="85"/>
      <c r="EQM38" s="85"/>
      <c r="EQN38" s="85"/>
      <c r="EQO38" s="85"/>
      <c r="EQP38" s="85"/>
      <c r="EQQ38" s="85"/>
      <c r="EQR38" s="85"/>
      <c r="EQS38" s="85"/>
      <c r="EQT38" s="85"/>
      <c r="EQU38" s="85"/>
      <c r="EQV38" s="85"/>
      <c r="EQW38" s="85"/>
      <c r="EQX38" s="85"/>
      <c r="EQY38" s="85"/>
      <c r="EQZ38" s="85"/>
      <c r="ERA38" s="85"/>
      <c r="ERB38" s="85"/>
      <c r="ERC38" s="85"/>
      <c r="ERD38" s="85"/>
      <c r="ERE38" s="85"/>
      <c r="ERF38" s="85"/>
      <c r="ERG38" s="85"/>
      <c r="ERH38" s="85"/>
      <c r="ERI38" s="85"/>
      <c r="ERJ38" s="85"/>
      <c r="ERK38" s="85"/>
      <c r="ERL38" s="85"/>
      <c r="ERM38" s="85"/>
      <c r="ERN38" s="85"/>
      <c r="ERO38" s="85"/>
      <c r="ERP38" s="85"/>
      <c r="ERQ38" s="85"/>
      <c r="ERR38" s="85"/>
      <c r="ERS38" s="85"/>
      <c r="ERT38" s="85"/>
      <c r="ERU38" s="85"/>
      <c r="ERV38" s="85"/>
      <c r="ERW38" s="85"/>
      <c r="ERX38" s="85"/>
      <c r="ERY38" s="85"/>
      <c r="ERZ38" s="85"/>
      <c r="ESA38" s="85"/>
      <c r="ESB38" s="85"/>
      <c r="ESC38" s="85"/>
      <c r="ESD38" s="85"/>
      <c r="ESE38" s="85"/>
      <c r="ESF38" s="85"/>
      <c r="ESG38" s="85"/>
      <c r="ESH38" s="85"/>
      <c r="ESI38" s="85"/>
      <c r="ESJ38" s="85"/>
      <c r="ESK38" s="85"/>
      <c r="ESL38" s="85"/>
      <c r="ESM38" s="85"/>
      <c r="ESN38" s="85"/>
      <c r="ESO38" s="85"/>
      <c r="ESP38" s="85"/>
      <c r="ESQ38" s="85"/>
      <c r="ESR38" s="85"/>
      <c r="ESS38" s="85"/>
      <c r="EST38" s="85"/>
      <c r="ESU38" s="85"/>
      <c r="ESV38" s="85"/>
      <c r="ESW38" s="85"/>
      <c r="ESX38" s="85"/>
      <c r="ESY38" s="85"/>
      <c r="ESZ38" s="85"/>
      <c r="ETA38" s="85"/>
      <c r="ETB38" s="85"/>
      <c r="ETC38" s="85"/>
      <c r="ETD38" s="85"/>
      <c r="ETE38" s="85"/>
      <c r="ETF38" s="85"/>
      <c r="ETG38" s="85"/>
      <c r="ETH38" s="85"/>
      <c r="ETI38" s="85"/>
      <c r="ETJ38" s="85"/>
      <c r="ETK38" s="85"/>
      <c r="ETL38" s="85"/>
      <c r="ETM38" s="85"/>
      <c r="ETN38" s="85"/>
      <c r="ETO38" s="85"/>
      <c r="ETP38" s="85"/>
      <c r="ETQ38" s="85"/>
      <c r="ETR38" s="85"/>
      <c r="ETS38" s="85"/>
      <c r="ETT38" s="85"/>
      <c r="ETU38" s="85"/>
      <c r="ETV38" s="85"/>
      <c r="ETW38" s="85"/>
      <c r="ETX38" s="85"/>
      <c r="ETY38" s="85"/>
      <c r="ETZ38" s="85"/>
      <c r="EUA38" s="85"/>
      <c r="EUB38" s="85"/>
      <c r="EUC38" s="85"/>
      <c r="EUD38" s="85"/>
      <c r="EUE38" s="85"/>
      <c r="EUF38" s="85"/>
      <c r="EUG38" s="85"/>
      <c r="EUH38" s="85"/>
      <c r="EUI38" s="85"/>
      <c r="EUJ38" s="85"/>
      <c r="EUK38" s="85"/>
      <c r="EUL38" s="85"/>
      <c r="EUM38" s="85"/>
      <c r="EUN38" s="85"/>
      <c r="EUO38" s="85"/>
      <c r="EUP38" s="85"/>
      <c r="EUQ38" s="85"/>
      <c r="EUR38" s="85"/>
      <c r="EUS38" s="85"/>
      <c r="EUT38" s="85"/>
      <c r="EUU38" s="85"/>
      <c r="EUV38" s="85"/>
      <c r="EUW38" s="85"/>
      <c r="EUX38" s="85"/>
      <c r="EUY38" s="85"/>
      <c r="EUZ38" s="85"/>
      <c r="EVA38" s="85"/>
      <c r="EVB38" s="85"/>
      <c r="EVC38" s="85"/>
      <c r="EVD38" s="85"/>
      <c r="EVE38" s="85"/>
      <c r="EVF38" s="85"/>
      <c r="EVG38" s="85"/>
      <c r="EVH38" s="85"/>
      <c r="EVI38" s="85"/>
      <c r="EVJ38" s="85"/>
      <c r="EVK38" s="85"/>
      <c r="EVL38" s="85"/>
      <c r="EVM38" s="85"/>
      <c r="EVN38" s="85"/>
      <c r="EVO38" s="85"/>
      <c r="EVP38" s="85"/>
      <c r="EVQ38" s="85"/>
      <c r="EVR38" s="85"/>
      <c r="EVS38" s="85"/>
      <c r="EVT38" s="85"/>
      <c r="EVU38" s="85"/>
      <c r="EVV38" s="85"/>
      <c r="EVW38" s="85"/>
      <c r="EVX38" s="85"/>
      <c r="EVY38" s="85"/>
      <c r="EVZ38" s="85"/>
      <c r="EWA38" s="85"/>
      <c r="EWB38" s="85"/>
      <c r="EWC38" s="85"/>
      <c r="EWD38" s="85"/>
      <c r="EWE38" s="85"/>
      <c r="EWF38" s="85"/>
      <c r="EWG38" s="85"/>
      <c r="EWH38" s="85"/>
      <c r="EWI38" s="85"/>
      <c r="EWJ38" s="85"/>
      <c r="EWK38" s="85"/>
      <c r="EWL38" s="85"/>
      <c r="EWM38" s="85"/>
      <c r="EWN38" s="85"/>
      <c r="EWO38" s="85"/>
      <c r="EWP38" s="85"/>
      <c r="EWQ38" s="85"/>
      <c r="EWR38" s="85"/>
      <c r="EWS38" s="85"/>
      <c r="EWT38" s="85"/>
      <c r="EWU38" s="85"/>
      <c r="EWV38" s="85"/>
      <c r="EWW38" s="85"/>
      <c r="EWX38" s="85"/>
      <c r="EWY38" s="85"/>
      <c r="EWZ38" s="85"/>
      <c r="EXA38" s="85"/>
      <c r="EXB38" s="85"/>
      <c r="EXC38" s="85"/>
      <c r="EXD38" s="85"/>
      <c r="EXE38" s="85"/>
      <c r="EXF38" s="85"/>
      <c r="EXG38" s="85"/>
      <c r="EXH38" s="85"/>
      <c r="EXI38" s="85"/>
      <c r="EXJ38" s="85"/>
      <c r="EXK38" s="85"/>
      <c r="EXL38" s="85"/>
      <c r="EXM38" s="85"/>
      <c r="EXN38" s="85"/>
      <c r="EXO38" s="85"/>
      <c r="EXP38" s="85"/>
      <c r="EXQ38" s="85"/>
      <c r="EXR38" s="85"/>
      <c r="EXS38" s="85"/>
      <c r="EXT38" s="85"/>
      <c r="EXU38" s="85"/>
      <c r="EXV38" s="85"/>
      <c r="EXW38" s="85"/>
      <c r="EXX38" s="85"/>
      <c r="EXY38" s="85"/>
      <c r="EXZ38" s="85"/>
      <c r="EYA38" s="85"/>
      <c r="EYB38" s="85"/>
      <c r="EYC38" s="85"/>
      <c r="EYD38" s="85"/>
      <c r="EYE38" s="85"/>
      <c r="EYF38" s="85"/>
      <c r="EYG38" s="85"/>
      <c r="EYH38" s="85"/>
      <c r="EYI38" s="85"/>
      <c r="EYJ38" s="85"/>
      <c r="EYK38" s="85"/>
      <c r="EYL38" s="85"/>
      <c r="EYM38" s="85"/>
      <c r="EYN38" s="85"/>
      <c r="EYO38" s="85"/>
      <c r="EYP38" s="85"/>
      <c r="EYQ38" s="85"/>
      <c r="EYR38" s="85"/>
      <c r="EYS38" s="85"/>
      <c r="EYT38" s="85"/>
      <c r="EYU38" s="85"/>
      <c r="EYV38" s="85"/>
      <c r="EYW38" s="85"/>
      <c r="EYX38" s="85"/>
      <c r="EYY38" s="85"/>
      <c r="EYZ38" s="85"/>
      <c r="EZA38" s="85"/>
      <c r="EZB38" s="85"/>
      <c r="EZC38" s="85"/>
      <c r="EZD38" s="85"/>
      <c r="EZE38" s="85"/>
      <c r="EZF38" s="85"/>
      <c r="EZG38" s="85"/>
      <c r="EZH38" s="85"/>
      <c r="EZI38" s="85"/>
      <c r="EZJ38" s="85"/>
      <c r="EZK38" s="85"/>
      <c r="EZL38" s="85"/>
      <c r="EZM38" s="85"/>
      <c r="EZN38" s="85"/>
      <c r="EZO38" s="85"/>
      <c r="EZP38" s="85"/>
      <c r="EZQ38" s="85"/>
      <c r="EZR38" s="85"/>
      <c r="EZS38" s="85"/>
      <c r="EZT38" s="85"/>
      <c r="EZU38" s="85"/>
      <c r="EZV38" s="85"/>
      <c r="EZW38" s="85"/>
      <c r="EZX38" s="85"/>
      <c r="EZY38" s="85"/>
      <c r="EZZ38" s="85"/>
      <c r="FAA38" s="85"/>
      <c r="FAB38" s="85"/>
      <c r="FAC38" s="85"/>
      <c r="FAD38" s="85"/>
      <c r="FAE38" s="85"/>
      <c r="FAF38" s="85"/>
      <c r="FAG38" s="85"/>
      <c r="FAH38" s="85"/>
      <c r="FAI38" s="85"/>
      <c r="FAJ38" s="85"/>
      <c r="FAK38" s="85"/>
      <c r="FAL38" s="85"/>
      <c r="FAM38" s="85"/>
      <c r="FAN38" s="85"/>
      <c r="FAO38" s="85"/>
      <c r="FAP38" s="85"/>
      <c r="FAQ38" s="85"/>
      <c r="FAR38" s="85"/>
      <c r="FAS38" s="85"/>
      <c r="FAT38" s="85"/>
      <c r="FAU38" s="85"/>
      <c r="FAV38" s="85"/>
      <c r="FAW38" s="85"/>
      <c r="FAX38" s="85"/>
      <c r="FAY38" s="85"/>
      <c r="FAZ38" s="85"/>
      <c r="FBA38" s="85"/>
      <c r="FBB38" s="85"/>
      <c r="FBC38" s="85"/>
      <c r="FBD38" s="85"/>
      <c r="FBE38" s="85"/>
      <c r="FBF38" s="85"/>
      <c r="FBG38" s="85"/>
      <c r="FBH38" s="85"/>
      <c r="FBI38" s="85"/>
      <c r="FBJ38" s="85"/>
      <c r="FBK38" s="85"/>
      <c r="FBL38" s="85"/>
      <c r="FBM38" s="85"/>
      <c r="FBN38" s="85"/>
      <c r="FBO38" s="85"/>
      <c r="FBP38" s="85"/>
      <c r="FBQ38" s="85"/>
      <c r="FBR38" s="85"/>
      <c r="FBS38" s="85"/>
      <c r="FBT38" s="85"/>
      <c r="FBU38" s="85"/>
      <c r="FBV38" s="85"/>
      <c r="FBW38" s="85"/>
      <c r="FBX38" s="85"/>
      <c r="FBY38" s="85"/>
      <c r="FBZ38" s="85"/>
      <c r="FCA38" s="85"/>
      <c r="FCB38" s="85"/>
      <c r="FCC38" s="85"/>
      <c r="FCD38" s="85"/>
      <c r="FCE38" s="85"/>
      <c r="FCF38" s="85"/>
      <c r="FCG38" s="85"/>
      <c r="FCH38" s="85"/>
      <c r="FCI38" s="85"/>
      <c r="FCJ38" s="85"/>
      <c r="FCK38" s="85"/>
      <c r="FCL38" s="85"/>
      <c r="FCM38" s="85"/>
      <c r="FCN38" s="85"/>
      <c r="FCO38" s="85"/>
      <c r="FCP38" s="85"/>
      <c r="FCQ38" s="85"/>
      <c r="FCR38" s="85"/>
      <c r="FCS38" s="85"/>
      <c r="FCT38" s="85"/>
      <c r="FCU38" s="85"/>
      <c r="FCV38" s="85"/>
      <c r="FCW38" s="85"/>
      <c r="FCX38" s="85"/>
      <c r="FCY38" s="85"/>
      <c r="FCZ38" s="85"/>
      <c r="FDA38" s="85"/>
      <c r="FDB38" s="85"/>
      <c r="FDC38" s="85"/>
      <c r="FDD38" s="85"/>
      <c r="FDE38" s="85"/>
      <c r="FDF38" s="85"/>
      <c r="FDG38" s="85"/>
      <c r="FDH38" s="85"/>
      <c r="FDI38" s="85"/>
      <c r="FDJ38" s="85"/>
      <c r="FDK38" s="85"/>
      <c r="FDL38" s="85"/>
      <c r="FDM38" s="85"/>
      <c r="FDN38" s="85"/>
      <c r="FDO38" s="85"/>
      <c r="FDP38" s="85"/>
      <c r="FDQ38" s="85"/>
      <c r="FDR38" s="85"/>
      <c r="FDS38" s="85"/>
      <c r="FDT38" s="85"/>
      <c r="FDU38" s="85"/>
      <c r="FDV38" s="85"/>
      <c r="FDW38" s="85"/>
      <c r="FDX38" s="85"/>
      <c r="FDY38" s="85"/>
      <c r="FDZ38" s="85"/>
      <c r="FEA38" s="85"/>
      <c r="FEB38" s="85"/>
      <c r="FEC38" s="85"/>
      <c r="FED38" s="85"/>
      <c r="FEE38" s="85"/>
      <c r="FEF38" s="85"/>
      <c r="FEG38" s="85"/>
      <c r="FEH38" s="85"/>
      <c r="FEI38" s="85"/>
      <c r="FEJ38" s="85"/>
      <c r="FEK38" s="85"/>
      <c r="FEL38" s="85"/>
      <c r="FEM38" s="85"/>
      <c r="FEN38" s="85"/>
      <c r="FEO38" s="85"/>
      <c r="FEP38" s="85"/>
      <c r="FEQ38" s="85"/>
      <c r="FER38" s="85"/>
      <c r="FES38" s="85"/>
      <c r="FET38" s="85"/>
      <c r="FEU38" s="85"/>
      <c r="FEV38" s="85"/>
      <c r="FEW38" s="85"/>
      <c r="FEX38" s="85"/>
      <c r="FEY38" s="85"/>
      <c r="FEZ38" s="85"/>
      <c r="FFA38" s="85"/>
      <c r="FFB38" s="85"/>
      <c r="FFC38" s="85"/>
      <c r="FFD38" s="85"/>
      <c r="FFE38" s="85"/>
      <c r="FFF38" s="85"/>
      <c r="FFG38" s="85"/>
      <c r="FFH38" s="85"/>
      <c r="FFI38" s="85"/>
      <c r="FFJ38" s="85"/>
      <c r="FFK38" s="85"/>
      <c r="FFL38" s="85"/>
      <c r="FFM38" s="85"/>
      <c r="FFN38" s="85"/>
      <c r="FFO38" s="85"/>
      <c r="FFP38" s="85"/>
      <c r="FFQ38" s="85"/>
      <c r="FFR38" s="85"/>
      <c r="FFS38" s="85"/>
      <c r="FFT38" s="85"/>
      <c r="FFU38" s="85"/>
      <c r="FFV38" s="85"/>
      <c r="FFW38" s="85"/>
      <c r="FFX38" s="85"/>
      <c r="FFY38" s="85"/>
      <c r="FFZ38" s="85"/>
      <c r="FGA38" s="85"/>
      <c r="FGB38" s="85"/>
      <c r="FGC38" s="85"/>
      <c r="FGD38" s="85"/>
      <c r="FGE38" s="85"/>
      <c r="FGF38" s="85"/>
      <c r="FGG38" s="85"/>
      <c r="FGH38" s="85"/>
      <c r="FGI38" s="85"/>
      <c r="FGJ38" s="85"/>
      <c r="FGK38" s="85"/>
      <c r="FGL38" s="85"/>
      <c r="FGM38" s="85"/>
      <c r="FGN38" s="85"/>
      <c r="FGO38" s="85"/>
      <c r="FGP38" s="85"/>
      <c r="FGQ38" s="85"/>
      <c r="FGR38" s="85"/>
      <c r="FGS38" s="85"/>
      <c r="FGT38" s="85"/>
      <c r="FGU38" s="85"/>
      <c r="FGV38" s="85"/>
      <c r="FGW38" s="85"/>
      <c r="FGX38" s="85"/>
      <c r="FGY38" s="85"/>
      <c r="FGZ38" s="85"/>
      <c r="FHA38" s="85"/>
      <c r="FHB38" s="85"/>
      <c r="FHC38" s="85"/>
      <c r="FHD38" s="85"/>
      <c r="FHE38" s="85"/>
      <c r="FHF38" s="85"/>
      <c r="FHG38" s="85"/>
      <c r="FHH38" s="85"/>
      <c r="FHI38" s="85"/>
      <c r="FHJ38" s="85"/>
      <c r="FHK38" s="85"/>
      <c r="FHL38" s="85"/>
      <c r="FHM38" s="85"/>
      <c r="FHN38" s="85"/>
      <c r="FHO38" s="85"/>
      <c r="FHP38" s="85"/>
      <c r="FHQ38" s="85"/>
      <c r="FHR38" s="85"/>
      <c r="FHS38" s="85"/>
      <c r="FHT38" s="85"/>
      <c r="FHU38" s="85"/>
      <c r="FHV38" s="85"/>
      <c r="FHW38" s="85"/>
      <c r="FHX38" s="85"/>
      <c r="FHY38" s="85"/>
      <c r="FHZ38" s="85"/>
      <c r="FIA38" s="85"/>
      <c r="FIB38" s="85"/>
      <c r="FIC38" s="85"/>
      <c r="FID38" s="85"/>
      <c r="FIE38" s="85"/>
      <c r="FIF38" s="85"/>
      <c r="FIG38" s="85"/>
      <c r="FIH38" s="85"/>
      <c r="FII38" s="85"/>
      <c r="FIJ38" s="85"/>
      <c r="FIK38" s="85"/>
      <c r="FIL38" s="85"/>
      <c r="FIM38" s="85"/>
      <c r="FIN38" s="85"/>
      <c r="FIO38" s="85"/>
      <c r="FIP38" s="85"/>
      <c r="FIQ38" s="85"/>
      <c r="FIR38" s="85"/>
      <c r="FIS38" s="85"/>
      <c r="FIT38" s="85"/>
      <c r="FIU38" s="85"/>
      <c r="FIV38" s="85"/>
      <c r="FIW38" s="85"/>
      <c r="FIX38" s="85"/>
      <c r="FIY38" s="85"/>
      <c r="FIZ38" s="85"/>
      <c r="FJA38" s="85"/>
      <c r="FJB38" s="85"/>
      <c r="FJC38" s="85"/>
      <c r="FJD38" s="85"/>
      <c r="FJE38" s="85"/>
      <c r="FJF38" s="85"/>
      <c r="FJG38" s="85"/>
      <c r="FJH38" s="85"/>
      <c r="FJI38" s="85"/>
      <c r="FJJ38" s="85"/>
      <c r="FJK38" s="85"/>
      <c r="FJL38" s="85"/>
      <c r="FJM38" s="85"/>
      <c r="FJN38" s="85"/>
      <c r="FJO38" s="85"/>
      <c r="FJP38" s="85"/>
      <c r="FJQ38" s="85"/>
      <c r="FJR38" s="85"/>
      <c r="FJS38" s="85"/>
      <c r="FJT38" s="85"/>
      <c r="FJU38" s="85"/>
      <c r="FJV38" s="85"/>
      <c r="FJW38" s="85"/>
      <c r="FJX38" s="85"/>
      <c r="FJY38" s="85"/>
      <c r="FJZ38" s="85"/>
      <c r="FKA38" s="85"/>
      <c r="FKB38" s="85"/>
      <c r="FKC38" s="85"/>
      <c r="FKD38" s="85"/>
      <c r="FKE38" s="85"/>
      <c r="FKF38" s="85"/>
      <c r="FKG38" s="85"/>
      <c r="FKH38" s="85"/>
      <c r="FKI38" s="85"/>
      <c r="FKJ38" s="85"/>
      <c r="FKK38" s="85"/>
      <c r="FKL38" s="85"/>
      <c r="FKM38" s="85"/>
      <c r="FKN38" s="85"/>
      <c r="FKO38" s="85"/>
      <c r="FKP38" s="85"/>
      <c r="FKQ38" s="85"/>
      <c r="FKR38" s="85"/>
      <c r="FKS38" s="85"/>
      <c r="FKT38" s="85"/>
      <c r="FKU38" s="85"/>
      <c r="FKV38" s="85"/>
      <c r="FKW38" s="85"/>
      <c r="FKX38" s="85"/>
      <c r="FKY38" s="85"/>
      <c r="FKZ38" s="85"/>
      <c r="FLA38" s="85"/>
      <c r="FLB38" s="85"/>
      <c r="FLC38" s="85"/>
      <c r="FLD38" s="85"/>
      <c r="FLE38" s="85"/>
      <c r="FLF38" s="85"/>
      <c r="FLG38" s="85"/>
      <c r="FLH38" s="85"/>
      <c r="FLI38" s="85"/>
      <c r="FLJ38" s="85"/>
      <c r="FLK38" s="85"/>
      <c r="FLL38" s="85"/>
      <c r="FLM38" s="85"/>
      <c r="FLN38" s="85"/>
      <c r="FLO38" s="85"/>
      <c r="FLP38" s="85"/>
      <c r="FLQ38" s="85"/>
      <c r="FLR38" s="85"/>
      <c r="FLS38" s="85"/>
      <c r="FLT38" s="85"/>
      <c r="FLU38" s="85"/>
      <c r="FLV38" s="85"/>
      <c r="FLW38" s="85"/>
      <c r="FLX38" s="85"/>
      <c r="FLY38" s="85"/>
      <c r="FLZ38" s="85"/>
      <c r="FMA38" s="85"/>
      <c r="FMB38" s="85"/>
      <c r="FMC38" s="85"/>
      <c r="FMD38" s="85"/>
      <c r="FME38" s="85"/>
      <c r="FMF38" s="85"/>
      <c r="FMG38" s="85"/>
      <c r="FMH38" s="85"/>
      <c r="FMI38" s="85"/>
      <c r="FMJ38" s="85"/>
      <c r="FMK38" s="85"/>
      <c r="FML38" s="85"/>
      <c r="FMM38" s="85"/>
      <c r="FMN38" s="85"/>
      <c r="FMO38" s="85"/>
      <c r="FMP38" s="85"/>
      <c r="FMQ38" s="85"/>
      <c r="FMR38" s="85"/>
      <c r="FMS38" s="85"/>
      <c r="FMT38" s="85"/>
      <c r="FMU38" s="85"/>
      <c r="FMV38" s="85"/>
      <c r="FMW38" s="85"/>
      <c r="FMX38" s="85"/>
      <c r="FMY38" s="85"/>
      <c r="FMZ38" s="85"/>
      <c r="FNA38" s="85"/>
      <c r="FNB38" s="85"/>
      <c r="FNC38" s="85"/>
      <c r="FND38" s="85"/>
      <c r="FNE38" s="85"/>
      <c r="FNF38" s="85"/>
      <c r="FNG38" s="85"/>
      <c r="FNH38" s="85"/>
      <c r="FNI38" s="85"/>
      <c r="FNJ38" s="85"/>
      <c r="FNK38" s="85"/>
      <c r="FNL38" s="85"/>
      <c r="FNM38" s="85"/>
      <c r="FNN38" s="85"/>
      <c r="FNO38" s="85"/>
      <c r="FNP38" s="85"/>
      <c r="FNQ38" s="85"/>
      <c r="FNR38" s="85"/>
      <c r="FNS38" s="85"/>
      <c r="FNT38" s="85"/>
      <c r="FNU38" s="85"/>
      <c r="FNV38" s="85"/>
      <c r="FNW38" s="85"/>
      <c r="FNX38" s="85"/>
      <c r="FNY38" s="85"/>
      <c r="FNZ38" s="85"/>
      <c r="FOA38" s="85"/>
      <c r="FOB38" s="85"/>
      <c r="FOC38" s="85"/>
      <c r="FOD38" s="85"/>
      <c r="FOE38" s="85"/>
      <c r="FOF38" s="85"/>
      <c r="FOG38" s="85"/>
      <c r="FOH38" s="85"/>
      <c r="FOI38" s="85"/>
      <c r="FOJ38" s="85"/>
      <c r="FOK38" s="85"/>
      <c r="FOL38" s="85"/>
      <c r="FOM38" s="85"/>
      <c r="FON38" s="85"/>
      <c r="FOO38" s="85"/>
      <c r="FOP38" s="85"/>
      <c r="FOQ38" s="85"/>
      <c r="FOR38" s="85"/>
      <c r="FOS38" s="85"/>
      <c r="FOT38" s="85"/>
      <c r="FOU38" s="85"/>
      <c r="FOV38" s="85"/>
      <c r="FOW38" s="85"/>
      <c r="FOX38" s="85"/>
      <c r="FOY38" s="85"/>
      <c r="FOZ38" s="85"/>
      <c r="FPA38" s="85"/>
      <c r="FPB38" s="85"/>
      <c r="FPC38" s="85"/>
      <c r="FPD38" s="85"/>
      <c r="FPE38" s="85"/>
      <c r="FPF38" s="85"/>
      <c r="FPG38" s="85"/>
      <c r="FPH38" s="85"/>
      <c r="FPI38" s="85"/>
      <c r="FPJ38" s="85"/>
      <c r="FPK38" s="85"/>
      <c r="FPL38" s="85"/>
      <c r="FPM38" s="85"/>
      <c r="FPN38" s="85"/>
      <c r="FPO38" s="85"/>
      <c r="FPP38" s="85"/>
      <c r="FPQ38" s="85"/>
      <c r="FPR38" s="85"/>
      <c r="FPS38" s="85"/>
      <c r="FPT38" s="85"/>
      <c r="FPU38" s="85"/>
      <c r="FPV38" s="85"/>
      <c r="FPW38" s="85"/>
      <c r="FPX38" s="85"/>
      <c r="FPY38" s="85"/>
      <c r="FPZ38" s="85"/>
      <c r="FQA38" s="85"/>
      <c r="FQB38" s="85"/>
      <c r="FQC38" s="85"/>
      <c r="FQD38" s="85"/>
      <c r="FQE38" s="85"/>
      <c r="FQF38" s="85"/>
      <c r="FQG38" s="85"/>
      <c r="FQH38" s="85"/>
      <c r="FQI38" s="85"/>
      <c r="FQJ38" s="85"/>
      <c r="FQK38" s="85"/>
      <c r="FQL38" s="85"/>
      <c r="FQM38" s="85"/>
      <c r="FQN38" s="85"/>
      <c r="FQO38" s="85"/>
      <c r="FQP38" s="85"/>
      <c r="FQQ38" s="85"/>
      <c r="FQR38" s="85"/>
      <c r="FQS38" s="85"/>
      <c r="FQT38" s="85"/>
      <c r="FQU38" s="85"/>
      <c r="FQV38" s="85"/>
      <c r="FQW38" s="85"/>
      <c r="FQX38" s="85"/>
      <c r="FQY38" s="85"/>
      <c r="FQZ38" s="85"/>
      <c r="FRA38" s="85"/>
      <c r="FRB38" s="85"/>
      <c r="FRC38" s="85"/>
      <c r="FRD38" s="85"/>
      <c r="FRE38" s="85"/>
      <c r="FRF38" s="85"/>
      <c r="FRG38" s="85"/>
      <c r="FRH38" s="85"/>
      <c r="FRI38" s="85"/>
      <c r="FRJ38" s="85"/>
      <c r="FRK38" s="85"/>
      <c r="FRL38" s="85"/>
      <c r="FRM38" s="85"/>
      <c r="FRN38" s="85"/>
      <c r="FRO38" s="85"/>
      <c r="FRP38" s="85"/>
      <c r="FRQ38" s="85"/>
      <c r="FRR38" s="85"/>
      <c r="FRS38" s="85"/>
      <c r="FRT38" s="85"/>
      <c r="FRU38" s="85"/>
      <c r="FRV38" s="85"/>
      <c r="FRW38" s="85"/>
      <c r="FRX38" s="85"/>
      <c r="FRY38" s="85"/>
      <c r="FRZ38" s="85"/>
      <c r="FSA38" s="85"/>
      <c r="FSB38" s="85"/>
      <c r="FSC38" s="85"/>
      <c r="FSD38" s="85"/>
      <c r="FSE38" s="85"/>
      <c r="FSF38" s="85"/>
      <c r="FSG38" s="85"/>
      <c r="FSH38" s="85"/>
      <c r="FSI38" s="85"/>
      <c r="FSJ38" s="85"/>
      <c r="FSK38" s="85"/>
      <c r="FSL38" s="85"/>
      <c r="FSM38" s="85"/>
      <c r="FSN38" s="85"/>
      <c r="FSO38" s="85"/>
      <c r="FSP38" s="85"/>
      <c r="FSQ38" s="85"/>
      <c r="FSR38" s="85"/>
      <c r="FSS38" s="85"/>
      <c r="FST38" s="85"/>
      <c r="FSU38" s="85"/>
      <c r="FSV38" s="85"/>
      <c r="FSW38" s="85"/>
      <c r="FSX38" s="85"/>
      <c r="FSY38" s="85"/>
      <c r="FSZ38" s="85"/>
      <c r="FTA38" s="85"/>
      <c r="FTB38" s="85"/>
      <c r="FTC38" s="85"/>
      <c r="FTD38" s="85"/>
      <c r="FTE38" s="85"/>
      <c r="FTF38" s="85"/>
      <c r="FTG38" s="85"/>
      <c r="FTH38" s="85"/>
      <c r="FTI38" s="85"/>
      <c r="FTJ38" s="85"/>
      <c r="FTK38" s="85"/>
      <c r="FTL38" s="85"/>
      <c r="FTM38" s="85"/>
      <c r="FTN38" s="85"/>
      <c r="FTO38" s="85"/>
      <c r="FTP38" s="85"/>
      <c r="FTQ38" s="85"/>
      <c r="FTR38" s="85"/>
      <c r="FTS38" s="85"/>
      <c r="FTT38" s="85"/>
      <c r="FTU38" s="85"/>
      <c r="FTV38" s="85"/>
      <c r="FTW38" s="85"/>
      <c r="FTX38" s="85"/>
      <c r="FTY38" s="85"/>
      <c r="FTZ38" s="85"/>
      <c r="FUA38" s="85"/>
      <c r="FUB38" s="85"/>
      <c r="FUC38" s="85"/>
      <c r="FUD38" s="85"/>
      <c r="FUE38" s="85"/>
      <c r="FUF38" s="85"/>
      <c r="FUG38" s="85"/>
      <c r="FUH38" s="85"/>
      <c r="FUI38" s="85"/>
      <c r="FUJ38" s="85"/>
      <c r="FUK38" s="85"/>
      <c r="FUL38" s="85"/>
      <c r="FUM38" s="85"/>
      <c r="FUN38" s="85"/>
      <c r="FUO38" s="85"/>
      <c r="FUP38" s="85"/>
      <c r="FUQ38" s="85"/>
      <c r="FUR38" s="85"/>
      <c r="FUS38" s="85"/>
      <c r="FUT38" s="85"/>
      <c r="FUU38" s="85"/>
      <c r="FUV38" s="85"/>
      <c r="FUW38" s="85"/>
      <c r="FUX38" s="85"/>
      <c r="FUY38" s="85"/>
      <c r="FUZ38" s="85"/>
      <c r="FVA38" s="85"/>
      <c r="FVB38" s="85"/>
      <c r="FVC38" s="85"/>
      <c r="FVD38" s="85"/>
      <c r="FVE38" s="85"/>
      <c r="FVF38" s="85"/>
      <c r="FVG38" s="85"/>
      <c r="FVH38" s="85"/>
      <c r="FVI38" s="85"/>
      <c r="FVJ38" s="85"/>
      <c r="FVK38" s="85"/>
      <c r="FVL38" s="85"/>
      <c r="FVM38" s="85"/>
      <c r="FVN38" s="85"/>
      <c r="FVO38" s="85"/>
      <c r="FVP38" s="85"/>
      <c r="FVQ38" s="85"/>
      <c r="FVR38" s="85"/>
      <c r="FVS38" s="85"/>
      <c r="FVT38" s="85"/>
      <c r="FVU38" s="85"/>
      <c r="FVV38" s="85"/>
      <c r="FVW38" s="85"/>
      <c r="FVX38" s="85"/>
      <c r="FVY38" s="85"/>
      <c r="FVZ38" s="85"/>
      <c r="FWA38" s="85"/>
      <c r="FWB38" s="85"/>
      <c r="FWC38" s="85"/>
      <c r="FWD38" s="85"/>
      <c r="FWE38" s="85"/>
      <c r="FWF38" s="85"/>
      <c r="FWG38" s="85"/>
      <c r="FWH38" s="85"/>
      <c r="FWI38" s="85"/>
      <c r="FWJ38" s="85"/>
      <c r="FWK38" s="85"/>
      <c r="FWL38" s="85"/>
      <c r="FWM38" s="85"/>
      <c r="FWN38" s="85"/>
      <c r="FWO38" s="85"/>
      <c r="FWP38" s="85"/>
      <c r="FWQ38" s="85"/>
      <c r="FWR38" s="85"/>
      <c r="FWS38" s="85"/>
      <c r="FWT38" s="85"/>
      <c r="FWU38" s="85"/>
      <c r="FWV38" s="85"/>
      <c r="FWW38" s="85"/>
      <c r="FWX38" s="85"/>
      <c r="FWY38" s="85"/>
      <c r="FWZ38" s="85"/>
      <c r="FXA38" s="85"/>
      <c r="FXB38" s="85"/>
      <c r="FXC38" s="85"/>
      <c r="FXD38" s="85"/>
      <c r="FXE38" s="85"/>
      <c r="FXF38" s="85"/>
      <c r="FXG38" s="85"/>
      <c r="FXH38" s="85"/>
      <c r="FXI38" s="85"/>
      <c r="FXJ38" s="85"/>
      <c r="FXK38" s="85"/>
      <c r="FXL38" s="85"/>
      <c r="FXM38" s="85"/>
      <c r="FXN38" s="85"/>
      <c r="FXO38" s="85"/>
      <c r="FXP38" s="85"/>
      <c r="FXQ38" s="85"/>
      <c r="FXR38" s="85"/>
      <c r="FXS38" s="85"/>
      <c r="FXT38" s="85"/>
      <c r="FXU38" s="85"/>
      <c r="FXV38" s="85"/>
      <c r="FXW38" s="85"/>
      <c r="FXX38" s="85"/>
      <c r="FXY38" s="85"/>
      <c r="FXZ38" s="85"/>
      <c r="FYA38" s="85"/>
      <c r="FYB38" s="85"/>
      <c r="FYC38" s="85"/>
      <c r="FYD38" s="85"/>
      <c r="FYE38" s="85"/>
      <c r="FYF38" s="85"/>
      <c r="FYG38" s="85"/>
      <c r="FYH38" s="85"/>
      <c r="FYI38" s="85"/>
      <c r="FYJ38" s="85"/>
      <c r="FYK38" s="85"/>
      <c r="FYL38" s="85"/>
      <c r="FYM38" s="85"/>
      <c r="FYN38" s="85"/>
      <c r="FYO38" s="85"/>
      <c r="FYP38" s="85"/>
      <c r="FYQ38" s="85"/>
      <c r="FYR38" s="85"/>
      <c r="FYS38" s="85"/>
      <c r="FYT38" s="85"/>
      <c r="FYU38" s="85"/>
      <c r="FYV38" s="85"/>
      <c r="FYW38" s="85"/>
      <c r="FYX38" s="85"/>
      <c r="FYY38" s="85"/>
      <c r="FYZ38" s="85"/>
      <c r="FZA38" s="85"/>
      <c r="FZB38" s="85"/>
      <c r="FZC38" s="85"/>
      <c r="FZD38" s="85"/>
      <c r="FZE38" s="85"/>
      <c r="FZF38" s="85"/>
      <c r="FZG38" s="85"/>
      <c r="FZH38" s="85"/>
      <c r="FZI38" s="85"/>
      <c r="FZJ38" s="85"/>
      <c r="FZK38" s="85"/>
      <c r="FZL38" s="85"/>
      <c r="FZM38" s="85"/>
      <c r="FZN38" s="85"/>
      <c r="FZO38" s="85"/>
      <c r="FZP38" s="85"/>
      <c r="FZQ38" s="85"/>
      <c r="FZR38" s="85"/>
      <c r="FZS38" s="85"/>
      <c r="FZT38" s="85"/>
      <c r="FZU38" s="85"/>
      <c r="FZV38" s="85"/>
      <c r="FZW38" s="85"/>
      <c r="FZX38" s="85"/>
      <c r="FZY38" s="85"/>
      <c r="FZZ38" s="85"/>
      <c r="GAA38" s="85"/>
      <c r="GAB38" s="85"/>
      <c r="GAC38" s="85"/>
      <c r="GAD38" s="85"/>
      <c r="GAE38" s="85"/>
      <c r="GAF38" s="85"/>
      <c r="GAG38" s="85"/>
      <c r="GAH38" s="85"/>
      <c r="GAI38" s="85"/>
      <c r="GAJ38" s="85"/>
      <c r="GAK38" s="85"/>
      <c r="GAL38" s="85"/>
      <c r="GAM38" s="85"/>
      <c r="GAN38" s="85"/>
      <c r="GAO38" s="85"/>
      <c r="GAP38" s="85"/>
      <c r="GAQ38" s="85"/>
      <c r="GAR38" s="85"/>
      <c r="GAS38" s="85"/>
      <c r="GAT38" s="85"/>
      <c r="GAU38" s="85"/>
      <c r="GAV38" s="85"/>
      <c r="GAW38" s="85"/>
      <c r="GAX38" s="85"/>
      <c r="GAY38" s="85"/>
      <c r="GAZ38" s="85"/>
      <c r="GBA38" s="85"/>
      <c r="GBB38" s="85"/>
      <c r="GBC38" s="85"/>
      <c r="GBD38" s="85"/>
      <c r="GBE38" s="85"/>
      <c r="GBF38" s="85"/>
      <c r="GBG38" s="85"/>
      <c r="GBH38" s="85"/>
      <c r="GBI38" s="85"/>
      <c r="GBJ38" s="85"/>
      <c r="GBK38" s="85"/>
      <c r="GBL38" s="85"/>
      <c r="GBM38" s="85"/>
      <c r="GBN38" s="85"/>
      <c r="GBO38" s="85"/>
      <c r="GBP38" s="85"/>
      <c r="GBQ38" s="85"/>
      <c r="GBR38" s="85"/>
      <c r="GBS38" s="85"/>
      <c r="GBT38" s="85"/>
      <c r="GBU38" s="85"/>
      <c r="GBV38" s="85"/>
      <c r="GBW38" s="85"/>
      <c r="GBX38" s="85"/>
      <c r="GBY38" s="85"/>
      <c r="GBZ38" s="85"/>
      <c r="GCA38" s="85"/>
      <c r="GCB38" s="85"/>
      <c r="GCC38" s="85"/>
      <c r="GCD38" s="85"/>
      <c r="GCE38" s="85"/>
      <c r="GCF38" s="85"/>
      <c r="GCG38" s="85"/>
      <c r="GCH38" s="85"/>
      <c r="GCI38" s="85"/>
      <c r="GCJ38" s="85"/>
      <c r="GCK38" s="85"/>
      <c r="GCL38" s="85"/>
      <c r="GCM38" s="85"/>
      <c r="GCN38" s="85"/>
      <c r="GCO38" s="85"/>
      <c r="GCP38" s="85"/>
      <c r="GCQ38" s="85"/>
      <c r="GCR38" s="85"/>
      <c r="GCS38" s="85"/>
      <c r="GCT38" s="85"/>
      <c r="GCU38" s="85"/>
      <c r="GCV38" s="85"/>
      <c r="GCW38" s="85"/>
      <c r="GCX38" s="85"/>
      <c r="GCY38" s="85"/>
      <c r="GCZ38" s="85"/>
      <c r="GDA38" s="85"/>
      <c r="GDB38" s="85"/>
      <c r="GDC38" s="85"/>
      <c r="GDD38" s="85"/>
      <c r="GDE38" s="85"/>
      <c r="GDF38" s="85"/>
      <c r="GDG38" s="85"/>
      <c r="GDH38" s="85"/>
      <c r="GDI38" s="85"/>
      <c r="GDJ38" s="85"/>
      <c r="GDK38" s="85"/>
      <c r="GDL38" s="85"/>
      <c r="GDM38" s="85"/>
      <c r="GDN38" s="85"/>
      <c r="GDO38" s="85"/>
      <c r="GDP38" s="85"/>
      <c r="GDQ38" s="85"/>
      <c r="GDR38" s="85"/>
      <c r="GDS38" s="85"/>
      <c r="GDT38" s="85"/>
      <c r="GDU38" s="85"/>
      <c r="GDV38" s="85"/>
      <c r="GDW38" s="85"/>
      <c r="GDX38" s="85"/>
      <c r="GDY38" s="85"/>
      <c r="GDZ38" s="85"/>
      <c r="GEA38" s="85"/>
      <c r="GEB38" s="85"/>
      <c r="GEC38" s="85"/>
      <c r="GED38" s="85"/>
      <c r="GEE38" s="85"/>
      <c r="GEF38" s="85"/>
      <c r="GEG38" s="85"/>
      <c r="GEH38" s="85"/>
      <c r="GEI38" s="85"/>
      <c r="GEJ38" s="85"/>
      <c r="GEK38" s="85"/>
      <c r="GEL38" s="85"/>
      <c r="GEM38" s="85"/>
      <c r="GEN38" s="85"/>
      <c r="GEO38" s="85"/>
      <c r="GEP38" s="85"/>
      <c r="GEQ38" s="85"/>
      <c r="GER38" s="85"/>
      <c r="GES38" s="85"/>
      <c r="GET38" s="85"/>
      <c r="GEU38" s="85"/>
      <c r="GEV38" s="85"/>
      <c r="GEW38" s="85"/>
      <c r="GEX38" s="85"/>
      <c r="GEY38" s="85"/>
      <c r="GEZ38" s="85"/>
      <c r="GFA38" s="85"/>
      <c r="GFB38" s="85"/>
      <c r="GFC38" s="85"/>
      <c r="GFD38" s="85"/>
      <c r="GFE38" s="85"/>
      <c r="GFF38" s="85"/>
      <c r="GFG38" s="85"/>
      <c r="GFH38" s="85"/>
      <c r="GFI38" s="85"/>
      <c r="GFJ38" s="85"/>
      <c r="GFK38" s="85"/>
      <c r="GFL38" s="85"/>
      <c r="GFM38" s="85"/>
      <c r="GFN38" s="85"/>
      <c r="GFO38" s="85"/>
      <c r="GFP38" s="85"/>
      <c r="GFQ38" s="85"/>
      <c r="GFR38" s="85"/>
      <c r="GFS38" s="85"/>
      <c r="GFT38" s="85"/>
      <c r="GFU38" s="85"/>
      <c r="GFV38" s="85"/>
      <c r="GFW38" s="85"/>
      <c r="GFX38" s="85"/>
      <c r="GFY38" s="85"/>
      <c r="GFZ38" s="85"/>
      <c r="GGA38" s="85"/>
      <c r="GGB38" s="85"/>
      <c r="GGC38" s="85"/>
      <c r="GGD38" s="85"/>
      <c r="GGE38" s="85"/>
      <c r="GGF38" s="85"/>
      <c r="GGG38" s="85"/>
      <c r="GGH38" s="85"/>
      <c r="GGI38" s="85"/>
      <c r="GGJ38" s="85"/>
      <c r="GGK38" s="85"/>
      <c r="GGL38" s="85"/>
      <c r="GGM38" s="85"/>
      <c r="GGN38" s="85"/>
      <c r="GGO38" s="85"/>
      <c r="GGP38" s="85"/>
      <c r="GGQ38" s="85"/>
      <c r="GGR38" s="85"/>
      <c r="GGS38" s="85"/>
      <c r="GGT38" s="85"/>
      <c r="GGU38" s="85"/>
      <c r="GGV38" s="85"/>
      <c r="GGW38" s="85"/>
      <c r="GGX38" s="85"/>
      <c r="GGY38" s="85"/>
      <c r="GGZ38" s="85"/>
      <c r="GHA38" s="85"/>
      <c r="GHB38" s="85"/>
      <c r="GHC38" s="85"/>
      <c r="GHD38" s="85"/>
      <c r="GHE38" s="85"/>
      <c r="GHF38" s="85"/>
      <c r="GHG38" s="85"/>
      <c r="GHH38" s="85"/>
      <c r="GHI38" s="85"/>
      <c r="GHJ38" s="85"/>
      <c r="GHK38" s="85"/>
      <c r="GHL38" s="85"/>
      <c r="GHM38" s="85"/>
      <c r="GHN38" s="85"/>
      <c r="GHO38" s="85"/>
      <c r="GHP38" s="85"/>
      <c r="GHQ38" s="85"/>
      <c r="GHR38" s="85"/>
      <c r="GHS38" s="85"/>
      <c r="GHT38" s="85"/>
      <c r="GHU38" s="85"/>
      <c r="GHV38" s="85"/>
      <c r="GHW38" s="85"/>
      <c r="GHX38" s="85"/>
      <c r="GHY38" s="85"/>
      <c r="GHZ38" s="85"/>
      <c r="GIA38" s="85"/>
      <c r="GIB38" s="85"/>
      <c r="GIC38" s="85"/>
      <c r="GID38" s="85"/>
      <c r="GIE38" s="85"/>
      <c r="GIF38" s="85"/>
      <c r="GIG38" s="85"/>
      <c r="GIH38" s="85"/>
      <c r="GII38" s="85"/>
      <c r="GIJ38" s="85"/>
      <c r="GIK38" s="85"/>
      <c r="GIL38" s="85"/>
      <c r="GIM38" s="85"/>
      <c r="GIN38" s="85"/>
      <c r="GIO38" s="85"/>
      <c r="GIP38" s="85"/>
      <c r="GIQ38" s="85"/>
      <c r="GIR38" s="85"/>
      <c r="GIS38" s="85"/>
      <c r="GIT38" s="85"/>
      <c r="GIU38" s="85"/>
      <c r="GIV38" s="85"/>
      <c r="GIW38" s="85"/>
      <c r="GIX38" s="85"/>
      <c r="GIY38" s="85"/>
      <c r="GIZ38" s="85"/>
      <c r="GJA38" s="85"/>
      <c r="GJB38" s="85"/>
      <c r="GJC38" s="85"/>
      <c r="GJD38" s="85"/>
      <c r="GJE38" s="85"/>
      <c r="GJF38" s="85"/>
      <c r="GJG38" s="85"/>
      <c r="GJH38" s="85"/>
      <c r="GJI38" s="85"/>
      <c r="GJJ38" s="85"/>
      <c r="GJK38" s="85"/>
      <c r="GJL38" s="85"/>
      <c r="GJM38" s="85"/>
      <c r="GJN38" s="85"/>
      <c r="GJO38" s="85"/>
      <c r="GJP38" s="85"/>
      <c r="GJQ38" s="85"/>
      <c r="GJR38" s="85"/>
      <c r="GJS38" s="85"/>
      <c r="GJT38" s="85"/>
      <c r="GJU38" s="85"/>
      <c r="GJV38" s="85"/>
      <c r="GJW38" s="85"/>
      <c r="GJX38" s="85"/>
      <c r="GJY38" s="85"/>
      <c r="GJZ38" s="85"/>
      <c r="GKA38" s="85"/>
      <c r="GKB38" s="85"/>
      <c r="GKC38" s="85"/>
      <c r="GKD38" s="85"/>
      <c r="GKE38" s="85"/>
      <c r="GKF38" s="85"/>
      <c r="GKG38" s="85"/>
      <c r="GKH38" s="85"/>
      <c r="GKI38" s="85"/>
      <c r="GKJ38" s="85"/>
      <c r="GKK38" s="85"/>
      <c r="GKL38" s="85"/>
      <c r="GKM38" s="85"/>
      <c r="GKN38" s="85"/>
      <c r="GKO38" s="85"/>
      <c r="GKP38" s="85"/>
      <c r="GKQ38" s="85"/>
      <c r="GKR38" s="85"/>
      <c r="GKS38" s="85"/>
      <c r="GKT38" s="85"/>
      <c r="GKU38" s="85"/>
      <c r="GKV38" s="85"/>
      <c r="GKW38" s="85"/>
      <c r="GKX38" s="85"/>
      <c r="GKY38" s="85"/>
      <c r="GKZ38" s="85"/>
      <c r="GLA38" s="85"/>
      <c r="GLB38" s="85"/>
      <c r="GLC38" s="85"/>
      <c r="GLD38" s="85"/>
      <c r="GLE38" s="85"/>
      <c r="GLF38" s="85"/>
      <c r="GLG38" s="85"/>
      <c r="GLH38" s="85"/>
      <c r="GLI38" s="85"/>
      <c r="GLJ38" s="85"/>
      <c r="GLK38" s="85"/>
      <c r="GLL38" s="85"/>
      <c r="GLM38" s="85"/>
      <c r="GLN38" s="85"/>
      <c r="GLO38" s="85"/>
      <c r="GLP38" s="85"/>
      <c r="GLQ38" s="85"/>
      <c r="GLR38" s="85"/>
      <c r="GLS38" s="85"/>
      <c r="GLT38" s="85"/>
      <c r="GLU38" s="85"/>
      <c r="GLV38" s="85"/>
      <c r="GLW38" s="85"/>
      <c r="GLX38" s="85"/>
      <c r="GLY38" s="85"/>
      <c r="GLZ38" s="85"/>
      <c r="GMA38" s="85"/>
      <c r="GMB38" s="85"/>
      <c r="GMC38" s="85"/>
      <c r="GMD38" s="85"/>
      <c r="GME38" s="85"/>
      <c r="GMF38" s="85"/>
      <c r="GMG38" s="85"/>
      <c r="GMH38" s="85"/>
      <c r="GMI38" s="85"/>
      <c r="GMJ38" s="85"/>
      <c r="GMK38" s="85"/>
      <c r="GML38" s="85"/>
      <c r="GMM38" s="85"/>
      <c r="GMN38" s="85"/>
      <c r="GMO38" s="85"/>
      <c r="GMP38" s="85"/>
      <c r="GMQ38" s="85"/>
      <c r="GMR38" s="85"/>
      <c r="GMS38" s="85"/>
      <c r="GMT38" s="85"/>
      <c r="GMU38" s="85"/>
      <c r="GMV38" s="85"/>
      <c r="GMW38" s="85"/>
      <c r="GMX38" s="85"/>
      <c r="GMY38" s="85"/>
      <c r="GMZ38" s="85"/>
      <c r="GNA38" s="85"/>
      <c r="GNB38" s="85"/>
      <c r="GNC38" s="85"/>
      <c r="GND38" s="85"/>
      <c r="GNE38" s="85"/>
      <c r="GNF38" s="85"/>
      <c r="GNG38" s="85"/>
      <c r="GNH38" s="85"/>
      <c r="GNI38" s="85"/>
      <c r="GNJ38" s="85"/>
      <c r="GNK38" s="85"/>
      <c r="GNL38" s="85"/>
      <c r="GNM38" s="85"/>
      <c r="GNN38" s="85"/>
      <c r="GNO38" s="85"/>
      <c r="GNP38" s="85"/>
      <c r="GNQ38" s="85"/>
      <c r="GNR38" s="85"/>
      <c r="GNS38" s="85"/>
      <c r="GNT38" s="85"/>
      <c r="GNU38" s="85"/>
      <c r="GNV38" s="85"/>
      <c r="GNW38" s="85"/>
      <c r="GNX38" s="85"/>
      <c r="GNY38" s="85"/>
      <c r="GNZ38" s="85"/>
      <c r="GOA38" s="85"/>
      <c r="GOB38" s="85"/>
      <c r="GOC38" s="85"/>
      <c r="GOD38" s="85"/>
      <c r="GOE38" s="85"/>
      <c r="GOF38" s="85"/>
      <c r="GOG38" s="85"/>
      <c r="GOH38" s="85"/>
      <c r="GOI38" s="85"/>
      <c r="GOJ38" s="85"/>
      <c r="GOK38" s="85"/>
      <c r="GOL38" s="85"/>
      <c r="GOM38" s="85"/>
      <c r="GON38" s="85"/>
      <c r="GOO38" s="85"/>
      <c r="GOP38" s="85"/>
      <c r="GOQ38" s="85"/>
      <c r="GOR38" s="85"/>
      <c r="GOS38" s="85"/>
      <c r="GOT38" s="85"/>
      <c r="GOU38" s="85"/>
      <c r="GOV38" s="85"/>
      <c r="GOW38" s="85"/>
      <c r="GOX38" s="85"/>
      <c r="GOY38" s="85"/>
      <c r="GOZ38" s="85"/>
      <c r="GPA38" s="85"/>
      <c r="GPB38" s="85"/>
      <c r="GPC38" s="85"/>
      <c r="GPD38" s="85"/>
      <c r="GPE38" s="85"/>
      <c r="GPF38" s="85"/>
      <c r="GPG38" s="85"/>
      <c r="GPH38" s="85"/>
      <c r="GPI38" s="85"/>
      <c r="GPJ38" s="85"/>
      <c r="GPK38" s="85"/>
      <c r="GPL38" s="85"/>
      <c r="GPM38" s="85"/>
      <c r="GPN38" s="85"/>
      <c r="GPO38" s="85"/>
      <c r="GPP38" s="85"/>
      <c r="GPQ38" s="85"/>
      <c r="GPR38" s="85"/>
      <c r="GPS38" s="85"/>
      <c r="GPT38" s="85"/>
      <c r="GPU38" s="85"/>
      <c r="GPV38" s="85"/>
      <c r="GPW38" s="85"/>
      <c r="GPX38" s="85"/>
      <c r="GPY38" s="85"/>
      <c r="GPZ38" s="85"/>
      <c r="GQA38" s="85"/>
      <c r="GQB38" s="85"/>
      <c r="GQC38" s="85"/>
      <c r="GQD38" s="85"/>
      <c r="GQE38" s="85"/>
      <c r="GQF38" s="85"/>
      <c r="GQG38" s="85"/>
      <c r="GQH38" s="85"/>
      <c r="GQI38" s="85"/>
      <c r="GQJ38" s="85"/>
      <c r="GQK38" s="85"/>
      <c r="GQL38" s="85"/>
      <c r="GQM38" s="85"/>
      <c r="GQN38" s="85"/>
      <c r="GQO38" s="85"/>
      <c r="GQP38" s="85"/>
      <c r="GQQ38" s="85"/>
      <c r="GQR38" s="85"/>
      <c r="GQS38" s="85"/>
      <c r="GQT38" s="85"/>
      <c r="GQU38" s="85"/>
      <c r="GQV38" s="85"/>
      <c r="GQW38" s="85"/>
      <c r="GQX38" s="85"/>
      <c r="GQY38" s="85"/>
      <c r="GQZ38" s="85"/>
      <c r="GRA38" s="85"/>
      <c r="GRB38" s="85"/>
      <c r="GRC38" s="85"/>
      <c r="GRD38" s="85"/>
      <c r="GRE38" s="85"/>
      <c r="GRF38" s="85"/>
      <c r="GRG38" s="85"/>
      <c r="GRH38" s="85"/>
      <c r="GRI38" s="85"/>
      <c r="GRJ38" s="85"/>
      <c r="GRK38" s="85"/>
      <c r="GRL38" s="85"/>
      <c r="GRM38" s="85"/>
      <c r="GRN38" s="85"/>
      <c r="GRO38" s="85"/>
      <c r="GRP38" s="85"/>
      <c r="GRQ38" s="85"/>
      <c r="GRR38" s="85"/>
      <c r="GRS38" s="85"/>
      <c r="GRT38" s="85"/>
      <c r="GRU38" s="85"/>
      <c r="GRV38" s="85"/>
      <c r="GRW38" s="85"/>
      <c r="GRX38" s="85"/>
      <c r="GRY38" s="85"/>
      <c r="GRZ38" s="85"/>
      <c r="GSA38" s="85"/>
      <c r="GSB38" s="85"/>
      <c r="GSC38" s="85"/>
      <c r="GSD38" s="85"/>
      <c r="GSE38" s="85"/>
      <c r="GSF38" s="85"/>
      <c r="GSG38" s="85"/>
      <c r="GSH38" s="85"/>
      <c r="GSI38" s="85"/>
      <c r="GSJ38" s="85"/>
      <c r="GSK38" s="85"/>
      <c r="GSL38" s="85"/>
      <c r="GSM38" s="85"/>
      <c r="GSN38" s="85"/>
      <c r="GSO38" s="85"/>
      <c r="GSP38" s="85"/>
      <c r="GSQ38" s="85"/>
      <c r="GSR38" s="85"/>
      <c r="GSS38" s="85"/>
      <c r="GST38" s="85"/>
      <c r="GSU38" s="85"/>
      <c r="GSV38" s="85"/>
      <c r="GSW38" s="85"/>
      <c r="GSX38" s="85"/>
      <c r="GSY38" s="85"/>
      <c r="GSZ38" s="85"/>
      <c r="GTA38" s="85"/>
      <c r="GTB38" s="85"/>
      <c r="GTC38" s="85"/>
      <c r="GTD38" s="85"/>
      <c r="GTE38" s="85"/>
      <c r="GTF38" s="85"/>
      <c r="GTG38" s="85"/>
      <c r="GTH38" s="85"/>
      <c r="GTI38" s="85"/>
      <c r="GTJ38" s="85"/>
      <c r="GTK38" s="85"/>
      <c r="GTL38" s="85"/>
      <c r="GTM38" s="85"/>
      <c r="GTN38" s="85"/>
      <c r="GTO38" s="85"/>
      <c r="GTP38" s="85"/>
      <c r="GTQ38" s="85"/>
      <c r="GTR38" s="85"/>
      <c r="GTS38" s="85"/>
      <c r="GTT38" s="85"/>
      <c r="GTU38" s="85"/>
      <c r="GTV38" s="85"/>
      <c r="GTW38" s="85"/>
      <c r="GTX38" s="85"/>
      <c r="GTY38" s="85"/>
      <c r="GTZ38" s="85"/>
      <c r="GUA38" s="85"/>
      <c r="GUB38" s="85"/>
      <c r="GUC38" s="85"/>
      <c r="GUD38" s="85"/>
      <c r="GUE38" s="85"/>
      <c r="GUF38" s="85"/>
      <c r="GUG38" s="85"/>
      <c r="GUH38" s="85"/>
      <c r="GUI38" s="85"/>
      <c r="GUJ38" s="85"/>
      <c r="GUK38" s="85"/>
      <c r="GUL38" s="85"/>
      <c r="GUM38" s="85"/>
      <c r="GUN38" s="85"/>
      <c r="GUO38" s="85"/>
      <c r="GUP38" s="85"/>
      <c r="GUQ38" s="85"/>
      <c r="GUR38" s="85"/>
      <c r="GUS38" s="85"/>
      <c r="GUT38" s="85"/>
      <c r="GUU38" s="85"/>
      <c r="GUV38" s="85"/>
      <c r="GUW38" s="85"/>
      <c r="GUX38" s="85"/>
      <c r="GUY38" s="85"/>
      <c r="GUZ38" s="85"/>
      <c r="GVA38" s="85"/>
      <c r="GVB38" s="85"/>
      <c r="GVC38" s="85"/>
      <c r="GVD38" s="85"/>
      <c r="GVE38" s="85"/>
      <c r="GVF38" s="85"/>
      <c r="GVG38" s="85"/>
      <c r="GVH38" s="85"/>
      <c r="GVI38" s="85"/>
      <c r="GVJ38" s="85"/>
      <c r="GVK38" s="85"/>
      <c r="GVL38" s="85"/>
      <c r="GVM38" s="85"/>
      <c r="GVN38" s="85"/>
      <c r="GVO38" s="85"/>
      <c r="GVP38" s="85"/>
      <c r="GVQ38" s="85"/>
      <c r="GVR38" s="85"/>
      <c r="GVS38" s="85"/>
      <c r="GVT38" s="85"/>
      <c r="GVU38" s="85"/>
      <c r="GVV38" s="85"/>
      <c r="GVW38" s="85"/>
      <c r="GVX38" s="85"/>
      <c r="GVY38" s="85"/>
      <c r="GVZ38" s="85"/>
      <c r="GWA38" s="85"/>
      <c r="GWB38" s="85"/>
      <c r="GWC38" s="85"/>
      <c r="GWD38" s="85"/>
      <c r="GWE38" s="85"/>
      <c r="GWF38" s="85"/>
      <c r="GWG38" s="85"/>
      <c r="GWH38" s="85"/>
      <c r="GWI38" s="85"/>
      <c r="GWJ38" s="85"/>
      <c r="GWK38" s="85"/>
      <c r="GWL38" s="85"/>
      <c r="GWM38" s="85"/>
      <c r="GWN38" s="85"/>
      <c r="GWO38" s="85"/>
      <c r="GWP38" s="85"/>
      <c r="GWQ38" s="85"/>
      <c r="GWR38" s="85"/>
      <c r="GWS38" s="85"/>
      <c r="GWT38" s="85"/>
      <c r="GWU38" s="85"/>
      <c r="GWV38" s="85"/>
      <c r="GWW38" s="85"/>
      <c r="GWX38" s="85"/>
      <c r="GWY38" s="85"/>
      <c r="GWZ38" s="85"/>
      <c r="GXA38" s="85"/>
      <c r="GXB38" s="85"/>
      <c r="GXC38" s="85"/>
      <c r="GXD38" s="85"/>
      <c r="GXE38" s="85"/>
      <c r="GXF38" s="85"/>
      <c r="GXG38" s="85"/>
      <c r="GXH38" s="85"/>
      <c r="GXI38" s="85"/>
      <c r="GXJ38" s="85"/>
      <c r="GXK38" s="85"/>
      <c r="GXL38" s="85"/>
      <c r="GXM38" s="85"/>
      <c r="GXN38" s="85"/>
      <c r="GXO38" s="85"/>
      <c r="GXP38" s="85"/>
      <c r="GXQ38" s="85"/>
      <c r="GXR38" s="85"/>
      <c r="GXS38" s="85"/>
      <c r="GXT38" s="85"/>
      <c r="GXU38" s="85"/>
      <c r="GXV38" s="85"/>
      <c r="GXW38" s="85"/>
      <c r="GXX38" s="85"/>
      <c r="GXY38" s="85"/>
      <c r="GXZ38" s="85"/>
      <c r="GYA38" s="85"/>
      <c r="GYB38" s="85"/>
      <c r="GYC38" s="85"/>
      <c r="GYD38" s="85"/>
      <c r="GYE38" s="85"/>
      <c r="GYF38" s="85"/>
      <c r="GYG38" s="85"/>
      <c r="GYH38" s="85"/>
      <c r="GYI38" s="85"/>
      <c r="GYJ38" s="85"/>
      <c r="GYK38" s="85"/>
      <c r="GYL38" s="85"/>
      <c r="GYM38" s="85"/>
      <c r="GYN38" s="85"/>
      <c r="GYO38" s="85"/>
      <c r="GYP38" s="85"/>
      <c r="GYQ38" s="85"/>
      <c r="GYR38" s="85"/>
      <c r="GYS38" s="85"/>
      <c r="GYT38" s="85"/>
      <c r="GYU38" s="85"/>
      <c r="GYV38" s="85"/>
      <c r="GYW38" s="85"/>
      <c r="GYX38" s="85"/>
      <c r="GYY38" s="85"/>
      <c r="GYZ38" s="85"/>
      <c r="GZA38" s="85"/>
      <c r="GZB38" s="85"/>
      <c r="GZC38" s="85"/>
      <c r="GZD38" s="85"/>
      <c r="GZE38" s="85"/>
      <c r="GZF38" s="85"/>
      <c r="GZG38" s="85"/>
      <c r="GZH38" s="85"/>
      <c r="GZI38" s="85"/>
      <c r="GZJ38" s="85"/>
      <c r="GZK38" s="85"/>
      <c r="GZL38" s="85"/>
      <c r="GZM38" s="85"/>
      <c r="GZN38" s="85"/>
      <c r="GZO38" s="85"/>
      <c r="GZP38" s="85"/>
      <c r="GZQ38" s="85"/>
      <c r="GZR38" s="85"/>
      <c r="GZS38" s="85"/>
      <c r="GZT38" s="85"/>
      <c r="GZU38" s="85"/>
      <c r="GZV38" s="85"/>
      <c r="GZW38" s="85"/>
      <c r="GZX38" s="85"/>
      <c r="GZY38" s="85"/>
      <c r="GZZ38" s="85"/>
      <c r="HAA38" s="85"/>
      <c r="HAB38" s="85"/>
      <c r="HAC38" s="85"/>
      <c r="HAD38" s="85"/>
      <c r="HAE38" s="85"/>
      <c r="HAF38" s="85"/>
      <c r="HAG38" s="85"/>
      <c r="HAH38" s="85"/>
      <c r="HAI38" s="85"/>
      <c r="HAJ38" s="85"/>
      <c r="HAK38" s="85"/>
      <c r="HAL38" s="85"/>
      <c r="HAM38" s="85"/>
      <c r="HAN38" s="85"/>
      <c r="HAO38" s="85"/>
      <c r="HAP38" s="85"/>
      <c r="HAQ38" s="85"/>
      <c r="HAR38" s="85"/>
      <c r="HAS38" s="85"/>
      <c r="HAT38" s="85"/>
      <c r="HAU38" s="85"/>
      <c r="HAV38" s="85"/>
      <c r="HAW38" s="85"/>
      <c r="HAX38" s="85"/>
      <c r="HAY38" s="85"/>
      <c r="HAZ38" s="85"/>
      <c r="HBA38" s="85"/>
      <c r="HBB38" s="85"/>
      <c r="HBC38" s="85"/>
      <c r="HBD38" s="85"/>
      <c r="HBE38" s="85"/>
      <c r="HBF38" s="85"/>
      <c r="HBG38" s="85"/>
      <c r="HBH38" s="85"/>
      <c r="HBI38" s="85"/>
      <c r="HBJ38" s="85"/>
      <c r="HBK38" s="85"/>
      <c r="HBL38" s="85"/>
      <c r="HBM38" s="85"/>
      <c r="HBN38" s="85"/>
      <c r="HBO38" s="85"/>
      <c r="HBP38" s="85"/>
      <c r="HBQ38" s="85"/>
      <c r="HBR38" s="85"/>
      <c r="HBS38" s="85"/>
      <c r="HBT38" s="85"/>
      <c r="HBU38" s="85"/>
      <c r="HBV38" s="85"/>
      <c r="HBW38" s="85"/>
      <c r="HBX38" s="85"/>
      <c r="HBY38" s="85"/>
      <c r="HBZ38" s="85"/>
      <c r="HCA38" s="85"/>
      <c r="HCB38" s="85"/>
      <c r="HCC38" s="85"/>
      <c r="HCD38" s="85"/>
      <c r="HCE38" s="85"/>
      <c r="HCF38" s="85"/>
      <c r="HCG38" s="85"/>
      <c r="HCH38" s="85"/>
      <c r="HCI38" s="85"/>
      <c r="HCJ38" s="85"/>
      <c r="HCK38" s="85"/>
      <c r="HCL38" s="85"/>
      <c r="HCM38" s="85"/>
      <c r="HCN38" s="85"/>
      <c r="HCO38" s="85"/>
      <c r="HCP38" s="85"/>
      <c r="HCQ38" s="85"/>
      <c r="HCR38" s="85"/>
      <c r="HCS38" s="85"/>
      <c r="HCT38" s="85"/>
      <c r="HCU38" s="85"/>
      <c r="HCV38" s="85"/>
      <c r="HCW38" s="85"/>
      <c r="HCX38" s="85"/>
      <c r="HCY38" s="85"/>
      <c r="HCZ38" s="85"/>
      <c r="HDA38" s="85"/>
      <c r="HDB38" s="85"/>
      <c r="HDC38" s="85"/>
      <c r="HDD38" s="85"/>
      <c r="HDE38" s="85"/>
      <c r="HDF38" s="85"/>
      <c r="HDG38" s="85"/>
      <c r="HDH38" s="85"/>
      <c r="HDI38" s="85"/>
      <c r="HDJ38" s="85"/>
      <c r="HDK38" s="85"/>
      <c r="HDL38" s="85"/>
      <c r="HDM38" s="85"/>
      <c r="HDN38" s="85"/>
      <c r="HDO38" s="85"/>
      <c r="HDP38" s="85"/>
      <c r="HDQ38" s="85"/>
      <c r="HDR38" s="85"/>
      <c r="HDS38" s="85"/>
      <c r="HDT38" s="85"/>
      <c r="HDU38" s="85"/>
      <c r="HDV38" s="85"/>
      <c r="HDW38" s="85"/>
      <c r="HDX38" s="85"/>
      <c r="HDY38" s="85"/>
      <c r="HDZ38" s="85"/>
      <c r="HEA38" s="85"/>
      <c r="HEB38" s="85"/>
      <c r="HEC38" s="85"/>
      <c r="HED38" s="85"/>
      <c r="HEE38" s="85"/>
      <c r="HEF38" s="85"/>
      <c r="HEG38" s="85"/>
      <c r="HEH38" s="85"/>
      <c r="HEI38" s="85"/>
      <c r="HEJ38" s="85"/>
      <c r="HEK38" s="85"/>
      <c r="HEL38" s="85"/>
      <c r="HEM38" s="85"/>
      <c r="HEN38" s="85"/>
      <c r="HEO38" s="85"/>
      <c r="HEP38" s="85"/>
      <c r="HEQ38" s="85"/>
      <c r="HER38" s="85"/>
      <c r="HES38" s="85"/>
      <c r="HET38" s="85"/>
      <c r="HEU38" s="85"/>
      <c r="HEV38" s="85"/>
      <c r="HEW38" s="85"/>
      <c r="HEX38" s="85"/>
      <c r="HEY38" s="85"/>
      <c r="HEZ38" s="85"/>
      <c r="HFA38" s="85"/>
      <c r="HFB38" s="85"/>
      <c r="HFC38" s="85"/>
      <c r="HFD38" s="85"/>
      <c r="HFE38" s="85"/>
      <c r="HFF38" s="85"/>
      <c r="HFG38" s="85"/>
      <c r="HFH38" s="85"/>
      <c r="HFI38" s="85"/>
      <c r="HFJ38" s="85"/>
      <c r="HFK38" s="85"/>
      <c r="HFL38" s="85"/>
      <c r="HFM38" s="85"/>
      <c r="HFN38" s="85"/>
      <c r="HFO38" s="85"/>
      <c r="HFP38" s="85"/>
      <c r="HFQ38" s="85"/>
      <c r="HFR38" s="85"/>
      <c r="HFS38" s="85"/>
      <c r="HFT38" s="85"/>
      <c r="HFU38" s="85"/>
      <c r="HFV38" s="85"/>
      <c r="HFW38" s="85"/>
      <c r="HFX38" s="85"/>
      <c r="HFY38" s="85"/>
      <c r="HFZ38" s="85"/>
      <c r="HGA38" s="85"/>
      <c r="HGB38" s="85"/>
      <c r="HGC38" s="85"/>
      <c r="HGD38" s="85"/>
      <c r="HGE38" s="85"/>
      <c r="HGF38" s="85"/>
      <c r="HGG38" s="85"/>
      <c r="HGH38" s="85"/>
      <c r="HGI38" s="85"/>
      <c r="HGJ38" s="85"/>
      <c r="HGK38" s="85"/>
      <c r="HGL38" s="85"/>
      <c r="HGM38" s="85"/>
      <c r="HGN38" s="85"/>
      <c r="HGO38" s="85"/>
      <c r="HGP38" s="85"/>
      <c r="HGQ38" s="85"/>
      <c r="HGR38" s="85"/>
      <c r="HGS38" s="85"/>
      <c r="HGT38" s="85"/>
      <c r="HGU38" s="85"/>
      <c r="HGV38" s="85"/>
      <c r="HGW38" s="85"/>
      <c r="HGX38" s="85"/>
      <c r="HGY38" s="85"/>
      <c r="HGZ38" s="85"/>
      <c r="HHA38" s="85"/>
      <c r="HHB38" s="85"/>
      <c r="HHC38" s="85"/>
      <c r="HHD38" s="85"/>
      <c r="HHE38" s="85"/>
      <c r="HHF38" s="85"/>
      <c r="HHG38" s="85"/>
      <c r="HHH38" s="85"/>
      <c r="HHI38" s="85"/>
      <c r="HHJ38" s="85"/>
      <c r="HHK38" s="85"/>
      <c r="HHL38" s="85"/>
      <c r="HHM38" s="85"/>
      <c r="HHN38" s="85"/>
      <c r="HHO38" s="85"/>
      <c r="HHP38" s="85"/>
      <c r="HHQ38" s="85"/>
      <c r="HHR38" s="85"/>
      <c r="HHS38" s="85"/>
      <c r="HHT38" s="85"/>
      <c r="HHU38" s="85"/>
      <c r="HHV38" s="85"/>
      <c r="HHW38" s="85"/>
      <c r="HHX38" s="85"/>
      <c r="HHY38" s="85"/>
      <c r="HHZ38" s="85"/>
      <c r="HIA38" s="85"/>
      <c r="HIB38" s="85"/>
      <c r="HIC38" s="85"/>
      <c r="HID38" s="85"/>
      <c r="HIE38" s="85"/>
      <c r="HIF38" s="85"/>
      <c r="HIG38" s="85"/>
      <c r="HIH38" s="85"/>
      <c r="HII38" s="85"/>
      <c r="HIJ38" s="85"/>
      <c r="HIK38" s="85"/>
      <c r="HIL38" s="85"/>
      <c r="HIM38" s="85"/>
      <c r="HIN38" s="85"/>
      <c r="HIO38" s="85"/>
      <c r="HIP38" s="85"/>
      <c r="HIQ38" s="85"/>
      <c r="HIR38" s="85"/>
      <c r="HIS38" s="85"/>
      <c r="HIT38" s="85"/>
      <c r="HIU38" s="85"/>
      <c r="HIV38" s="85"/>
      <c r="HIW38" s="85"/>
      <c r="HIX38" s="85"/>
      <c r="HIY38" s="85"/>
      <c r="HIZ38" s="85"/>
      <c r="HJA38" s="85"/>
      <c r="HJB38" s="85"/>
      <c r="HJC38" s="85"/>
      <c r="HJD38" s="85"/>
      <c r="HJE38" s="85"/>
      <c r="HJF38" s="85"/>
      <c r="HJG38" s="85"/>
      <c r="HJH38" s="85"/>
      <c r="HJI38" s="85"/>
      <c r="HJJ38" s="85"/>
      <c r="HJK38" s="85"/>
      <c r="HJL38" s="85"/>
      <c r="HJM38" s="85"/>
      <c r="HJN38" s="85"/>
      <c r="HJO38" s="85"/>
      <c r="HJP38" s="85"/>
      <c r="HJQ38" s="85"/>
      <c r="HJR38" s="85"/>
      <c r="HJS38" s="85"/>
      <c r="HJT38" s="85"/>
      <c r="HJU38" s="85"/>
      <c r="HJV38" s="85"/>
      <c r="HJW38" s="85"/>
      <c r="HJX38" s="85"/>
      <c r="HJY38" s="85"/>
      <c r="HJZ38" s="85"/>
      <c r="HKA38" s="85"/>
      <c r="HKB38" s="85"/>
      <c r="HKC38" s="85"/>
      <c r="HKD38" s="85"/>
      <c r="HKE38" s="85"/>
      <c r="HKF38" s="85"/>
      <c r="HKG38" s="85"/>
      <c r="HKH38" s="85"/>
      <c r="HKI38" s="85"/>
      <c r="HKJ38" s="85"/>
      <c r="HKK38" s="85"/>
      <c r="HKL38" s="85"/>
      <c r="HKM38" s="85"/>
      <c r="HKN38" s="85"/>
      <c r="HKO38" s="85"/>
      <c r="HKP38" s="85"/>
      <c r="HKQ38" s="85"/>
      <c r="HKR38" s="85"/>
      <c r="HKS38" s="85"/>
      <c r="HKT38" s="85"/>
      <c r="HKU38" s="85"/>
      <c r="HKV38" s="85"/>
      <c r="HKW38" s="85"/>
      <c r="HKX38" s="85"/>
      <c r="HKY38" s="85"/>
      <c r="HKZ38" s="85"/>
      <c r="HLA38" s="85"/>
      <c r="HLB38" s="85"/>
      <c r="HLC38" s="85"/>
      <c r="HLD38" s="85"/>
      <c r="HLE38" s="85"/>
      <c r="HLF38" s="85"/>
      <c r="HLG38" s="85"/>
      <c r="HLH38" s="85"/>
      <c r="HLI38" s="85"/>
      <c r="HLJ38" s="85"/>
      <c r="HLK38" s="85"/>
      <c r="HLL38" s="85"/>
      <c r="HLM38" s="85"/>
      <c r="HLN38" s="85"/>
      <c r="HLO38" s="85"/>
      <c r="HLP38" s="85"/>
      <c r="HLQ38" s="85"/>
      <c r="HLR38" s="85"/>
      <c r="HLS38" s="85"/>
      <c r="HLT38" s="85"/>
      <c r="HLU38" s="85"/>
      <c r="HLV38" s="85"/>
      <c r="HLW38" s="85"/>
      <c r="HLX38" s="85"/>
      <c r="HLY38" s="85"/>
      <c r="HLZ38" s="85"/>
      <c r="HMA38" s="85"/>
      <c r="HMB38" s="85"/>
      <c r="HMC38" s="85"/>
      <c r="HMD38" s="85"/>
      <c r="HME38" s="85"/>
      <c r="HMF38" s="85"/>
      <c r="HMG38" s="85"/>
      <c r="HMH38" s="85"/>
      <c r="HMI38" s="85"/>
      <c r="HMJ38" s="85"/>
      <c r="HMK38" s="85"/>
      <c r="HML38" s="85"/>
      <c r="HMM38" s="85"/>
      <c r="HMN38" s="85"/>
      <c r="HMO38" s="85"/>
      <c r="HMP38" s="85"/>
      <c r="HMQ38" s="85"/>
      <c r="HMR38" s="85"/>
      <c r="HMS38" s="85"/>
      <c r="HMT38" s="85"/>
      <c r="HMU38" s="85"/>
      <c r="HMV38" s="85"/>
      <c r="HMW38" s="85"/>
      <c r="HMX38" s="85"/>
      <c r="HMY38" s="85"/>
      <c r="HMZ38" s="85"/>
      <c r="HNA38" s="85"/>
      <c r="HNB38" s="85"/>
      <c r="HNC38" s="85"/>
      <c r="HND38" s="85"/>
      <c r="HNE38" s="85"/>
      <c r="HNF38" s="85"/>
      <c r="HNG38" s="85"/>
      <c r="HNH38" s="85"/>
      <c r="HNI38" s="85"/>
      <c r="HNJ38" s="85"/>
      <c r="HNK38" s="85"/>
      <c r="HNL38" s="85"/>
      <c r="HNM38" s="85"/>
      <c r="HNN38" s="85"/>
      <c r="HNO38" s="85"/>
      <c r="HNP38" s="85"/>
      <c r="HNQ38" s="85"/>
      <c r="HNR38" s="85"/>
      <c r="HNS38" s="85"/>
      <c r="HNT38" s="85"/>
      <c r="HNU38" s="85"/>
      <c r="HNV38" s="85"/>
      <c r="HNW38" s="85"/>
      <c r="HNX38" s="85"/>
      <c r="HNY38" s="85"/>
      <c r="HNZ38" s="85"/>
      <c r="HOA38" s="85"/>
      <c r="HOB38" s="85"/>
      <c r="HOC38" s="85"/>
      <c r="HOD38" s="85"/>
      <c r="HOE38" s="85"/>
      <c r="HOF38" s="85"/>
      <c r="HOG38" s="85"/>
      <c r="HOH38" s="85"/>
      <c r="HOI38" s="85"/>
      <c r="HOJ38" s="85"/>
      <c r="HOK38" s="85"/>
      <c r="HOL38" s="85"/>
      <c r="HOM38" s="85"/>
      <c r="HON38" s="85"/>
      <c r="HOO38" s="85"/>
      <c r="HOP38" s="85"/>
      <c r="HOQ38" s="85"/>
      <c r="HOR38" s="85"/>
      <c r="HOS38" s="85"/>
      <c r="HOT38" s="85"/>
      <c r="HOU38" s="85"/>
      <c r="HOV38" s="85"/>
      <c r="HOW38" s="85"/>
      <c r="HOX38" s="85"/>
      <c r="HOY38" s="85"/>
      <c r="HOZ38" s="85"/>
      <c r="HPA38" s="85"/>
      <c r="HPB38" s="85"/>
      <c r="HPC38" s="85"/>
      <c r="HPD38" s="85"/>
      <c r="HPE38" s="85"/>
      <c r="HPF38" s="85"/>
      <c r="HPG38" s="85"/>
      <c r="HPH38" s="85"/>
      <c r="HPI38" s="85"/>
      <c r="HPJ38" s="85"/>
      <c r="HPK38" s="85"/>
      <c r="HPL38" s="85"/>
      <c r="HPM38" s="85"/>
      <c r="HPN38" s="85"/>
      <c r="HPO38" s="85"/>
      <c r="HPP38" s="85"/>
      <c r="HPQ38" s="85"/>
      <c r="HPR38" s="85"/>
      <c r="HPS38" s="85"/>
      <c r="HPT38" s="85"/>
      <c r="HPU38" s="85"/>
      <c r="HPV38" s="85"/>
      <c r="HPW38" s="85"/>
      <c r="HPX38" s="85"/>
      <c r="HPY38" s="85"/>
      <c r="HPZ38" s="85"/>
      <c r="HQA38" s="85"/>
      <c r="HQB38" s="85"/>
      <c r="HQC38" s="85"/>
      <c r="HQD38" s="85"/>
      <c r="HQE38" s="85"/>
      <c r="HQF38" s="85"/>
      <c r="HQG38" s="85"/>
      <c r="HQH38" s="85"/>
      <c r="HQI38" s="85"/>
      <c r="HQJ38" s="85"/>
      <c r="HQK38" s="85"/>
      <c r="HQL38" s="85"/>
      <c r="HQM38" s="85"/>
      <c r="HQN38" s="85"/>
      <c r="HQO38" s="85"/>
      <c r="HQP38" s="85"/>
      <c r="HQQ38" s="85"/>
      <c r="HQR38" s="85"/>
      <c r="HQS38" s="85"/>
      <c r="HQT38" s="85"/>
      <c r="HQU38" s="85"/>
      <c r="HQV38" s="85"/>
      <c r="HQW38" s="85"/>
      <c r="HQX38" s="85"/>
      <c r="HQY38" s="85"/>
      <c r="HQZ38" s="85"/>
      <c r="HRA38" s="85"/>
      <c r="HRB38" s="85"/>
      <c r="HRC38" s="85"/>
      <c r="HRD38" s="85"/>
      <c r="HRE38" s="85"/>
      <c r="HRF38" s="85"/>
      <c r="HRG38" s="85"/>
      <c r="HRH38" s="85"/>
      <c r="HRI38" s="85"/>
      <c r="HRJ38" s="85"/>
      <c r="HRK38" s="85"/>
      <c r="HRL38" s="85"/>
      <c r="HRM38" s="85"/>
      <c r="HRN38" s="85"/>
      <c r="HRO38" s="85"/>
      <c r="HRP38" s="85"/>
      <c r="HRQ38" s="85"/>
      <c r="HRR38" s="85"/>
      <c r="HRS38" s="85"/>
      <c r="HRT38" s="85"/>
      <c r="HRU38" s="85"/>
      <c r="HRV38" s="85"/>
      <c r="HRW38" s="85"/>
      <c r="HRX38" s="85"/>
      <c r="HRY38" s="85"/>
      <c r="HRZ38" s="85"/>
      <c r="HSA38" s="85"/>
      <c r="HSB38" s="85"/>
      <c r="HSC38" s="85"/>
      <c r="HSD38" s="85"/>
      <c r="HSE38" s="85"/>
      <c r="HSF38" s="85"/>
      <c r="HSG38" s="85"/>
      <c r="HSH38" s="85"/>
      <c r="HSI38" s="85"/>
      <c r="HSJ38" s="85"/>
      <c r="HSK38" s="85"/>
      <c r="HSL38" s="85"/>
      <c r="HSM38" s="85"/>
      <c r="HSN38" s="85"/>
      <c r="HSO38" s="85"/>
      <c r="HSP38" s="85"/>
      <c r="HSQ38" s="85"/>
      <c r="HSR38" s="85"/>
      <c r="HSS38" s="85"/>
      <c r="HST38" s="85"/>
      <c r="HSU38" s="85"/>
      <c r="HSV38" s="85"/>
      <c r="HSW38" s="85"/>
      <c r="HSX38" s="85"/>
      <c r="HSY38" s="85"/>
      <c r="HSZ38" s="85"/>
      <c r="HTA38" s="85"/>
      <c r="HTB38" s="85"/>
      <c r="HTC38" s="85"/>
      <c r="HTD38" s="85"/>
      <c r="HTE38" s="85"/>
      <c r="HTF38" s="85"/>
      <c r="HTG38" s="85"/>
      <c r="HTH38" s="85"/>
      <c r="HTI38" s="85"/>
      <c r="HTJ38" s="85"/>
      <c r="HTK38" s="85"/>
      <c r="HTL38" s="85"/>
      <c r="HTM38" s="85"/>
      <c r="HTN38" s="85"/>
      <c r="HTO38" s="85"/>
      <c r="HTP38" s="85"/>
      <c r="HTQ38" s="85"/>
      <c r="HTR38" s="85"/>
      <c r="HTS38" s="85"/>
      <c r="HTT38" s="85"/>
      <c r="HTU38" s="85"/>
      <c r="HTV38" s="85"/>
      <c r="HTW38" s="85"/>
      <c r="HTX38" s="85"/>
      <c r="HTY38" s="85"/>
      <c r="HTZ38" s="85"/>
      <c r="HUA38" s="85"/>
      <c r="HUB38" s="85"/>
      <c r="HUC38" s="85"/>
      <c r="HUD38" s="85"/>
      <c r="HUE38" s="85"/>
      <c r="HUF38" s="85"/>
      <c r="HUG38" s="85"/>
      <c r="HUH38" s="85"/>
      <c r="HUI38" s="85"/>
      <c r="HUJ38" s="85"/>
      <c r="HUK38" s="85"/>
      <c r="HUL38" s="85"/>
      <c r="HUM38" s="85"/>
      <c r="HUN38" s="85"/>
      <c r="HUO38" s="85"/>
      <c r="HUP38" s="85"/>
      <c r="HUQ38" s="85"/>
      <c r="HUR38" s="85"/>
      <c r="HUS38" s="85"/>
      <c r="HUT38" s="85"/>
      <c r="HUU38" s="85"/>
      <c r="HUV38" s="85"/>
      <c r="HUW38" s="85"/>
      <c r="HUX38" s="85"/>
      <c r="HUY38" s="85"/>
      <c r="HUZ38" s="85"/>
      <c r="HVA38" s="85"/>
      <c r="HVB38" s="85"/>
      <c r="HVC38" s="85"/>
      <c r="HVD38" s="85"/>
      <c r="HVE38" s="85"/>
      <c r="HVF38" s="85"/>
      <c r="HVG38" s="85"/>
      <c r="HVH38" s="85"/>
      <c r="HVI38" s="85"/>
      <c r="HVJ38" s="85"/>
      <c r="HVK38" s="85"/>
      <c r="HVL38" s="85"/>
      <c r="HVM38" s="85"/>
      <c r="HVN38" s="85"/>
      <c r="HVO38" s="85"/>
      <c r="HVP38" s="85"/>
      <c r="HVQ38" s="85"/>
      <c r="HVR38" s="85"/>
      <c r="HVS38" s="85"/>
      <c r="HVT38" s="85"/>
      <c r="HVU38" s="85"/>
      <c r="HVV38" s="85"/>
      <c r="HVW38" s="85"/>
      <c r="HVX38" s="85"/>
      <c r="HVY38" s="85"/>
      <c r="HVZ38" s="85"/>
      <c r="HWA38" s="85"/>
      <c r="HWB38" s="85"/>
      <c r="HWC38" s="85"/>
      <c r="HWD38" s="85"/>
      <c r="HWE38" s="85"/>
      <c r="HWF38" s="85"/>
      <c r="HWG38" s="85"/>
      <c r="HWH38" s="85"/>
      <c r="HWI38" s="85"/>
      <c r="HWJ38" s="85"/>
      <c r="HWK38" s="85"/>
      <c r="HWL38" s="85"/>
      <c r="HWM38" s="85"/>
      <c r="HWN38" s="85"/>
      <c r="HWO38" s="85"/>
      <c r="HWP38" s="85"/>
      <c r="HWQ38" s="85"/>
      <c r="HWR38" s="85"/>
      <c r="HWS38" s="85"/>
      <c r="HWT38" s="85"/>
      <c r="HWU38" s="85"/>
      <c r="HWV38" s="85"/>
      <c r="HWW38" s="85"/>
      <c r="HWX38" s="85"/>
      <c r="HWY38" s="85"/>
      <c r="HWZ38" s="85"/>
      <c r="HXA38" s="85"/>
      <c r="HXB38" s="85"/>
      <c r="HXC38" s="85"/>
      <c r="HXD38" s="85"/>
      <c r="HXE38" s="85"/>
      <c r="HXF38" s="85"/>
      <c r="HXG38" s="85"/>
      <c r="HXH38" s="85"/>
      <c r="HXI38" s="85"/>
      <c r="HXJ38" s="85"/>
      <c r="HXK38" s="85"/>
      <c r="HXL38" s="85"/>
      <c r="HXM38" s="85"/>
      <c r="HXN38" s="85"/>
      <c r="HXO38" s="85"/>
      <c r="HXP38" s="85"/>
      <c r="HXQ38" s="85"/>
      <c r="HXR38" s="85"/>
      <c r="HXS38" s="85"/>
      <c r="HXT38" s="85"/>
      <c r="HXU38" s="85"/>
      <c r="HXV38" s="85"/>
      <c r="HXW38" s="85"/>
      <c r="HXX38" s="85"/>
      <c r="HXY38" s="85"/>
      <c r="HXZ38" s="85"/>
      <c r="HYA38" s="85"/>
      <c r="HYB38" s="85"/>
      <c r="HYC38" s="85"/>
      <c r="HYD38" s="85"/>
      <c r="HYE38" s="85"/>
      <c r="HYF38" s="85"/>
      <c r="HYG38" s="85"/>
      <c r="HYH38" s="85"/>
      <c r="HYI38" s="85"/>
      <c r="HYJ38" s="85"/>
      <c r="HYK38" s="85"/>
      <c r="HYL38" s="85"/>
      <c r="HYM38" s="85"/>
      <c r="HYN38" s="85"/>
      <c r="HYO38" s="85"/>
      <c r="HYP38" s="85"/>
      <c r="HYQ38" s="85"/>
      <c r="HYR38" s="85"/>
      <c r="HYS38" s="85"/>
      <c r="HYT38" s="85"/>
      <c r="HYU38" s="85"/>
      <c r="HYV38" s="85"/>
      <c r="HYW38" s="85"/>
      <c r="HYX38" s="85"/>
      <c r="HYY38" s="85"/>
      <c r="HYZ38" s="85"/>
      <c r="HZA38" s="85"/>
      <c r="HZB38" s="85"/>
      <c r="HZC38" s="85"/>
      <c r="HZD38" s="85"/>
      <c r="HZE38" s="85"/>
      <c r="HZF38" s="85"/>
      <c r="HZG38" s="85"/>
      <c r="HZH38" s="85"/>
      <c r="HZI38" s="85"/>
      <c r="HZJ38" s="85"/>
      <c r="HZK38" s="85"/>
      <c r="HZL38" s="85"/>
      <c r="HZM38" s="85"/>
      <c r="HZN38" s="85"/>
      <c r="HZO38" s="85"/>
      <c r="HZP38" s="85"/>
      <c r="HZQ38" s="85"/>
      <c r="HZR38" s="85"/>
      <c r="HZS38" s="85"/>
      <c r="HZT38" s="85"/>
      <c r="HZU38" s="85"/>
      <c r="HZV38" s="85"/>
      <c r="HZW38" s="85"/>
      <c r="HZX38" s="85"/>
      <c r="HZY38" s="85"/>
      <c r="HZZ38" s="85"/>
      <c r="IAA38" s="85"/>
      <c r="IAB38" s="85"/>
      <c r="IAC38" s="85"/>
      <c r="IAD38" s="85"/>
      <c r="IAE38" s="85"/>
      <c r="IAF38" s="85"/>
      <c r="IAG38" s="85"/>
      <c r="IAH38" s="85"/>
      <c r="IAI38" s="85"/>
      <c r="IAJ38" s="85"/>
      <c r="IAK38" s="85"/>
      <c r="IAL38" s="85"/>
      <c r="IAM38" s="85"/>
      <c r="IAN38" s="85"/>
      <c r="IAO38" s="85"/>
      <c r="IAP38" s="85"/>
      <c r="IAQ38" s="85"/>
      <c r="IAR38" s="85"/>
      <c r="IAS38" s="85"/>
      <c r="IAT38" s="85"/>
      <c r="IAU38" s="85"/>
      <c r="IAV38" s="85"/>
      <c r="IAW38" s="85"/>
      <c r="IAX38" s="85"/>
      <c r="IAY38" s="85"/>
      <c r="IAZ38" s="85"/>
      <c r="IBA38" s="85"/>
      <c r="IBB38" s="85"/>
      <c r="IBC38" s="85"/>
      <c r="IBD38" s="85"/>
      <c r="IBE38" s="85"/>
      <c r="IBF38" s="85"/>
      <c r="IBG38" s="85"/>
      <c r="IBH38" s="85"/>
      <c r="IBI38" s="85"/>
      <c r="IBJ38" s="85"/>
      <c r="IBK38" s="85"/>
      <c r="IBL38" s="85"/>
      <c r="IBM38" s="85"/>
      <c r="IBN38" s="85"/>
      <c r="IBO38" s="85"/>
      <c r="IBP38" s="85"/>
      <c r="IBQ38" s="85"/>
      <c r="IBR38" s="85"/>
      <c r="IBS38" s="85"/>
      <c r="IBT38" s="85"/>
      <c r="IBU38" s="85"/>
      <c r="IBV38" s="85"/>
      <c r="IBW38" s="85"/>
      <c r="IBX38" s="85"/>
      <c r="IBY38" s="85"/>
      <c r="IBZ38" s="85"/>
      <c r="ICA38" s="85"/>
      <c r="ICB38" s="85"/>
      <c r="ICC38" s="85"/>
      <c r="ICD38" s="85"/>
      <c r="ICE38" s="85"/>
      <c r="ICF38" s="85"/>
      <c r="ICG38" s="85"/>
      <c r="ICH38" s="85"/>
      <c r="ICI38" s="85"/>
      <c r="ICJ38" s="85"/>
      <c r="ICK38" s="85"/>
      <c r="ICL38" s="85"/>
      <c r="ICM38" s="85"/>
      <c r="ICN38" s="85"/>
      <c r="ICO38" s="85"/>
      <c r="ICP38" s="85"/>
      <c r="ICQ38" s="85"/>
      <c r="ICR38" s="85"/>
      <c r="ICS38" s="85"/>
      <c r="ICT38" s="85"/>
      <c r="ICU38" s="85"/>
      <c r="ICV38" s="85"/>
      <c r="ICW38" s="85"/>
      <c r="ICX38" s="85"/>
      <c r="ICY38" s="85"/>
      <c r="ICZ38" s="85"/>
      <c r="IDA38" s="85"/>
      <c r="IDB38" s="85"/>
      <c r="IDC38" s="85"/>
      <c r="IDD38" s="85"/>
      <c r="IDE38" s="85"/>
      <c r="IDF38" s="85"/>
      <c r="IDG38" s="85"/>
      <c r="IDH38" s="85"/>
      <c r="IDI38" s="85"/>
      <c r="IDJ38" s="85"/>
      <c r="IDK38" s="85"/>
      <c r="IDL38" s="85"/>
      <c r="IDM38" s="85"/>
      <c r="IDN38" s="85"/>
      <c r="IDO38" s="85"/>
      <c r="IDP38" s="85"/>
      <c r="IDQ38" s="85"/>
      <c r="IDR38" s="85"/>
      <c r="IDS38" s="85"/>
      <c r="IDT38" s="85"/>
      <c r="IDU38" s="85"/>
      <c r="IDV38" s="85"/>
      <c r="IDW38" s="85"/>
      <c r="IDX38" s="85"/>
      <c r="IDY38" s="85"/>
      <c r="IDZ38" s="85"/>
      <c r="IEA38" s="85"/>
      <c r="IEB38" s="85"/>
      <c r="IEC38" s="85"/>
      <c r="IED38" s="85"/>
      <c r="IEE38" s="85"/>
      <c r="IEF38" s="85"/>
      <c r="IEG38" s="85"/>
      <c r="IEH38" s="85"/>
      <c r="IEI38" s="85"/>
      <c r="IEJ38" s="85"/>
      <c r="IEK38" s="85"/>
      <c r="IEL38" s="85"/>
      <c r="IEM38" s="85"/>
      <c r="IEN38" s="85"/>
      <c r="IEO38" s="85"/>
      <c r="IEP38" s="85"/>
      <c r="IEQ38" s="85"/>
      <c r="IER38" s="85"/>
      <c r="IES38" s="85"/>
      <c r="IET38" s="85"/>
      <c r="IEU38" s="85"/>
      <c r="IEV38" s="85"/>
      <c r="IEW38" s="85"/>
      <c r="IEX38" s="85"/>
      <c r="IEY38" s="85"/>
      <c r="IEZ38" s="85"/>
      <c r="IFA38" s="85"/>
      <c r="IFB38" s="85"/>
      <c r="IFC38" s="85"/>
      <c r="IFD38" s="85"/>
      <c r="IFE38" s="85"/>
      <c r="IFF38" s="85"/>
      <c r="IFG38" s="85"/>
      <c r="IFH38" s="85"/>
      <c r="IFI38" s="85"/>
      <c r="IFJ38" s="85"/>
      <c r="IFK38" s="85"/>
      <c r="IFL38" s="85"/>
      <c r="IFM38" s="85"/>
      <c r="IFN38" s="85"/>
      <c r="IFO38" s="85"/>
      <c r="IFP38" s="85"/>
      <c r="IFQ38" s="85"/>
      <c r="IFR38" s="85"/>
      <c r="IFS38" s="85"/>
      <c r="IFT38" s="85"/>
      <c r="IFU38" s="85"/>
      <c r="IFV38" s="85"/>
      <c r="IFW38" s="85"/>
      <c r="IFX38" s="85"/>
      <c r="IFY38" s="85"/>
      <c r="IFZ38" s="85"/>
      <c r="IGA38" s="85"/>
      <c r="IGB38" s="85"/>
      <c r="IGC38" s="85"/>
      <c r="IGD38" s="85"/>
      <c r="IGE38" s="85"/>
      <c r="IGF38" s="85"/>
      <c r="IGG38" s="85"/>
      <c r="IGH38" s="85"/>
      <c r="IGI38" s="85"/>
      <c r="IGJ38" s="85"/>
      <c r="IGK38" s="85"/>
      <c r="IGL38" s="85"/>
      <c r="IGM38" s="85"/>
      <c r="IGN38" s="85"/>
      <c r="IGO38" s="85"/>
      <c r="IGP38" s="85"/>
      <c r="IGQ38" s="85"/>
      <c r="IGR38" s="85"/>
      <c r="IGS38" s="85"/>
      <c r="IGT38" s="85"/>
      <c r="IGU38" s="85"/>
      <c r="IGV38" s="85"/>
      <c r="IGW38" s="85"/>
      <c r="IGX38" s="85"/>
      <c r="IGY38" s="85"/>
      <c r="IGZ38" s="85"/>
      <c r="IHA38" s="85"/>
      <c r="IHB38" s="85"/>
      <c r="IHC38" s="85"/>
      <c r="IHD38" s="85"/>
      <c r="IHE38" s="85"/>
      <c r="IHF38" s="85"/>
      <c r="IHG38" s="85"/>
      <c r="IHH38" s="85"/>
      <c r="IHI38" s="85"/>
      <c r="IHJ38" s="85"/>
      <c r="IHK38" s="85"/>
      <c r="IHL38" s="85"/>
      <c r="IHM38" s="85"/>
      <c r="IHN38" s="85"/>
      <c r="IHO38" s="85"/>
      <c r="IHP38" s="85"/>
      <c r="IHQ38" s="85"/>
      <c r="IHR38" s="85"/>
      <c r="IHS38" s="85"/>
      <c r="IHT38" s="85"/>
      <c r="IHU38" s="85"/>
      <c r="IHV38" s="85"/>
      <c r="IHW38" s="85"/>
      <c r="IHX38" s="85"/>
      <c r="IHY38" s="85"/>
      <c r="IHZ38" s="85"/>
      <c r="IIA38" s="85"/>
      <c r="IIB38" s="85"/>
      <c r="IIC38" s="85"/>
      <c r="IID38" s="85"/>
      <c r="IIE38" s="85"/>
      <c r="IIF38" s="85"/>
      <c r="IIG38" s="85"/>
      <c r="IIH38" s="85"/>
      <c r="III38" s="85"/>
      <c r="IIJ38" s="85"/>
      <c r="IIK38" s="85"/>
      <c r="IIL38" s="85"/>
      <c r="IIM38" s="85"/>
      <c r="IIN38" s="85"/>
      <c r="IIO38" s="85"/>
      <c r="IIP38" s="85"/>
      <c r="IIQ38" s="85"/>
      <c r="IIR38" s="85"/>
      <c r="IIS38" s="85"/>
      <c r="IIT38" s="85"/>
      <c r="IIU38" s="85"/>
      <c r="IIV38" s="85"/>
      <c r="IIW38" s="85"/>
      <c r="IIX38" s="85"/>
      <c r="IIY38" s="85"/>
      <c r="IIZ38" s="85"/>
      <c r="IJA38" s="85"/>
      <c r="IJB38" s="85"/>
      <c r="IJC38" s="85"/>
      <c r="IJD38" s="85"/>
      <c r="IJE38" s="85"/>
      <c r="IJF38" s="85"/>
      <c r="IJG38" s="85"/>
      <c r="IJH38" s="85"/>
      <c r="IJI38" s="85"/>
      <c r="IJJ38" s="85"/>
      <c r="IJK38" s="85"/>
      <c r="IJL38" s="85"/>
      <c r="IJM38" s="85"/>
      <c r="IJN38" s="85"/>
      <c r="IJO38" s="85"/>
      <c r="IJP38" s="85"/>
      <c r="IJQ38" s="85"/>
      <c r="IJR38" s="85"/>
      <c r="IJS38" s="85"/>
      <c r="IJT38" s="85"/>
      <c r="IJU38" s="85"/>
      <c r="IJV38" s="85"/>
      <c r="IJW38" s="85"/>
      <c r="IJX38" s="85"/>
      <c r="IJY38" s="85"/>
      <c r="IJZ38" s="85"/>
      <c r="IKA38" s="85"/>
      <c r="IKB38" s="85"/>
      <c r="IKC38" s="85"/>
      <c r="IKD38" s="85"/>
      <c r="IKE38" s="85"/>
      <c r="IKF38" s="85"/>
      <c r="IKG38" s="85"/>
      <c r="IKH38" s="85"/>
      <c r="IKI38" s="85"/>
      <c r="IKJ38" s="85"/>
      <c r="IKK38" s="85"/>
      <c r="IKL38" s="85"/>
      <c r="IKM38" s="85"/>
      <c r="IKN38" s="85"/>
      <c r="IKO38" s="85"/>
      <c r="IKP38" s="85"/>
      <c r="IKQ38" s="85"/>
      <c r="IKR38" s="85"/>
      <c r="IKS38" s="85"/>
      <c r="IKT38" s="85"/>
      <c r="IKU38" s="85"/>
      <c r="IKV38" s="85"/>
      <c r="IKW38" s="85"/>
      <c r="IKX38" s="85"/>
      <c r="IKY38" s="85"/>
      <c r="IKZ38" s="85"/>
      <c r="ILA38" s="85"/>
      <c r="ILB38" s="85"/>
      <c r="ILC38" s="85"/>
      <c r="ILD38" s="85"/>
      <c r="ILE38" s="85"/>
      <c r="ILF38" s="85"/>
      <c r="ILG38" s="85"/>
      <c r="ILH38" s="85"/>
      <c r="ILI38" s="85"/>
      <c r="ILJ38" s="85"/>
      <c r="ILK38" s="85"/>
      <c r="ILL38" s="85"/>
      <c r="ILM38" s="85"/>
      <c r="ILN38" s="85"/>
      <c r="ILO38" s="85"/>
      <c r="ILP38" s="85"/>
      <c r="ILQ38" s="85"/>
      <c r="ILR38" s="85"/>
      <c r="ILS38" s="85"/>
      <c r="ILT38" s="85"/>
      <c r="ILU38" s="85"/>
      <c r="ILV38" s="85"/>
      <c r="ILW38" s="85"/>
      <c r="ILX38" s="85"/>
      <c r="ILY38" s="85"/>
      <c r="ILZ38" s="85"/>
      <c r="IMA38" s="85"/>
      <c r="IMB38" s="85"/>
      <c r="IMC38" s="85"/>
      <c r="IMD38" s="85"/>
      <c r="IME38" s="85"/>
      <c r="IMF38" s="85"/>
      <c r="IMG38" s="85"/>
      <c r="IMH38" s="85"/>
      <c r="IMI38" s="85"/>
      <c r="IMJ38" s="85"/>
      <c r="IMK38" s="85"/>
      <c r="IML38" s="85"/>
      <c r="IMM38" s="85"/>
      <c r="IMN38" s="85"/>
      <c r="IMO38" s="85"/>
      <c r="IMP38" s="85"/>
      <c r="IMQ38" s="85"/>
      <c r="IMR38" s="85"/>
      <c r="IMS38" s="85"/>
      <c r="IMT38" s="85"/>
      <c r="IMU38" s="85"/>
      <c r="IMV38" s="85"/>
      <c r="IMW38" s="85"/>
      <c r="IMX38" s="85"/>
      <c r="IMY38" s="85"/>
      <c r="IMZ38" s="85"/>
      <c r="INA38" s="85"/>
      <c r="INB38" s="85"/>
      <c r="INC38" s="85"/>
      <c r="IND38" s="85"/>
      <c r="INE38" s="85"/>
      <c r="INF38" s="85"/>
      <c r="ING38" s="85"/>
      <c r="INH38" s="85"/>
      <c r="INI38" s="85"/>
      <c r="INJ38" s="85"/>
      <c r="INK38" s="85"/>
      <c r="INL38" s="85"/>
      <c r="INM38" s="85"/>
      <c r="INN38" s="85"/>
      <c r="INO38" s="85"/>
      <c r="INP38" s="85"/>
      <c r="INQ38" s="85"/>
      <c r="INR38" s="85"/>
      <c r="INS38" s="85"/>
      <c r="INT38" s="85"/>
      <c r="INU38" s="85"/>
      <c r="INV38" s="85"/>
      <c r="INW38" s="85"/>
      <c r="INX38" s="85"/>
      <c r="INY38" s="85"/>
      <c r="INZ38" s="85"/>
      <c r="IOA38" s="85"/>
      <c r="IOB38" s="85"/>
      <c r="IOC38" s="85"/>
      <c r="IOD38" s="85"/>
      <c r="IOE38" s="85"/>
      <c r="IOF38" s="85"/>
      <c r="IOG38" s="85"/>
      <c r="IOH38" s="85"/>
      <c r="IOI38" s="85"/>
      <c r="IOJ38" s="85"/>
      <c r="IOK38" s="85"/>
      <c r="IOL38" s="85"/>
      <c r="IOM38" s="85"/>
      <c r="ION38" s="85"/>
      <c r="IOO38" s="85"/>
      <c r="IOP38" s="85"/>
      <c r="IOQ38" s="85"/>
      <c r="IOR38" s="85"/>
      <c r="IOS38" s="85"/>
      <c r="IOT38" s="85"/>
      <c r="IOU38" s="85"/>
      <c r="IOV38" s="85"/>
      <c r="IOW38" s="85"/>
      <c r="IOX38" s="85"/>
      <c r="IOY38" s="85"/>
      <c r="IOZ38" s="85"/>
      <c r="IPA38" s="85"/>
      <c r="IPB38" s="85"/>
      <c r="IPC38" s="85"/>
      <c r="IPD38" s="85"/>
      <c r="IPE38" s="85"/>
      <c r="IPF38" s="85"/>
      <c r="IPG38" s="85"/>
      <c r="IPH38" s="85"/>
      <c r="IPI38" s="85"/>
      <c r="IPJ38" s="85"/>
      <c r="IPK38" s="85"/>
      <c r="IPL38" s="85"/>
      <c r="IPM38" s="85"/>
      <c r="IPN38" s="85"/>
      <c r="IPO38" s="85"/>
      <c r="IPP38" s="85"/>
      <c r="IPQ38" s="85"/>
      <c r="IPR38" s="85"/>
      <c r="IPS38" s="85"/>
      <c r="IPT38" s="85"/>
      <c r="IPU38" s="85"/>
      <c r="IPV38" s="85"/>
      <c r="IPW38" s="85"/>
      <c r="IPX38" s="85"/>
      <c r="IPY38" s="85"/>
      <c r="IPZ38" s="85"/>
      <c r="IQA38" s="85"/>
      <c r="IQB38" s="85"/>
      <c r="IQC38" s="85"/>
      <c r="IQD38" s="85"/>
      <c r="IQE38" s="85"/>
      <c r="IQF38" s="85"/>
      <c r="IQG38" s="85"/>
      <c r="IQH38" s="85"/>
      <c r="IQI38" s="85"/>
      <c r="IQJ38" s="85"/>
      <c r="IQK38" s="85"/>
      <c r="IQL38" s="85"/>
      <c r="IQM38" s="85"/>
      <c r="IQN38" s="85"/>
      <c r="IQO38" s="85"/>
      <c r="IQP38" s="85"/>
      <c r="IQQ38" s="85"/>
      <c r="IQR38" s="85"/>
      <c r="IQS38" s="85"/>
      <c r="IQT38" s="85"/>
      <c r="IQU38" s="85"/>
      <c r="IQV38" s="85"/>
      <c r="IQW38" s="85"/>
      <c r="IQX38" s="85"/>
      <c r="IQY38" s="85"/>
      <c r="IQZ38" s="85"/>
      <c r="IRA38" s="85"/>
      <c r="IRB38" s="85"/>
      <c r="IRC38" s="85"/>
      <c r="IRD38" s="85"/>
      <c r="IRE38" s="85"/>
      <c r="IRF38" s="85"/>
      <c r="IRG38" s="85"/>
      <c r="IRH38" s="85"/>
      <c r="IRI38" s="85"/>
      <c r="IRJ38" s="85"/>
      <c r="IRK38" s="85"/>
      <c r="IRL38" s="85"/>
      <c r="IRM38" s="85"/>
      <c r="IRN38" s="85"/>
      <c r="IRO38" s="85"/>
      <c r="IRP38" s="85"/>
      <c r="IRQ38" s="85"/>
      <c r="IRR38" s="85"/>
      <c r="IRS38" s="85"/>
      <c r="IRT38" s="85"/>
      <c r="IRU38" s="85"/>
      <c r="IRV38" s="85"/>
      <c r="IRW38" s="85"/>
      <c r="IRX38" s="85"/>
      <c r="IRY38" s="85"/>
      <c r="IRZ38" s="85"/>
      <c r="ISA38" s="85"/>
      <c r="ISB38" s="85"/>
      <c r="ISC38" s="85"/>
      <c r="ISD38" s="85"/>
      <c r="ISE38" s="85"/>
      <c r="ISF38" s="85"/>
      <c r="ISG38" s="85"/>
      <c r="ISH38" s="85"/>
      <c r="ISI38" s="85"/>
      <c r="ISJ38" s="85"/>
      <c r="ISK38" s="85"/>
      <c r="ISL38" s="85"/>
      <c r="ISM38" s="85"/>
      <c r="ISN38" s="85"/>
      <c r="ISO38" s="85"/>
      <c r="ISP38" s="85"/>
      <c r="ISQ38" s="85"/>
      <c r="ISR38" s="85"/>
      <c r="ISS38" s="85"/>
      <c r="IST38" s="85"/>
      <c r="ISU38" s="85"/>
      <c r="ISV38" s="85"/>
      <c r="ISW38" s="85"/>
      <c r="ISX38" s="85"/>
      <c r="ISY38" s="85"/>
      <c r="ISZ38" s="85"/>
      <c r="ITA38" s="85"/>
      <c r="ITB38" s="85"/>
      <c r="ITC38" s="85"/>
      <c r="ITD38" s="85"/>
      <c r="ITE38" s="85"/>
      <c r="ITF38" s="85"/>
      <c r="ITG38" s="85"/>
      <c r="ITH38" s="85"/>
      <c r="ITI38" s="85"/>
      <c r="ITJ38" s="85"/>
      <c r="ITK38" s="85"/>
      <c r="ITL38" s="85"/>
      <c r="ITM38" s="85"/>
      <c r="ITN38" s="85"/>
      <c r="ITO38" s="85"/>
      <c r="ITP38" s="85"/>
      <c r="ITQ38" s="85"/>
      <c r="ITR38" s="85"/>
      <c r="ITS38" s="85"/>
      <c r="ITT38" s="85"/>
      <c r="ITU38" s="85"/>
      <c r="ITV38" s="85"/>
      <c r="ITW38" s="85"/>
      <c r="ITX38" s="85"/>
      <c r="ITY38" s="85"/>
      <c r="ITZ38" s="85"/>
      <c r="IUA38" s="85"/>
      <c r="IUB38" s="85"/>
      <c r="IUC38" s="85"/>
      <c r="IUD38" s="85"/>
      <c r="IUE38" s="85"/>
      <c r="IUF38" s="85"/>
      <c r="IUG38" s="85"/>
      <c r="IUH38" s="85"/>
      <c r="IUI38" s="85"/>
      <c r="IUJ38" s="85"/>
      <c r="IUK38" s="85"/>
      <c r="IUL38" s="85"/>
      <c r="IUM38" s="85"/>
      <c r="IUN38" s="85"/>
      <c r="IUO38" s="85"/>
      <c r="IUP38" s="85"/>
      <c r="IUQ38" s="85"/>
      <c r="IUR38" s="85"/>
      <c r="IUS38" s="85"/>
      <c r="IUT38" s="85"/>
      <c r="IUU38" s="85"/>
      <c r="IUV38" s="85"/>
      <c r="IUW38" s="85"/>
      <c r="IUX38" s="85"/>
      <c r="IUY38" s="85"/>
      <c r="IUZ38" s="85"/>
      <c r="IVA38" s="85"/>
      <c r="IVB38" s="85"/>
      <c r="IVC38" s="85"/>
      <c r="IVD38" s="85"/>
      <c r="IVE38" s="85"/>
      <c r="IVF38" s="85"/>
      <c r="IVG38" s="85"/>
      <c r="IVH38" s="85"/>
      <c r="IVI38" s="85"/>
      <c r="IVJ38" s="85"/>
      <c r="IVK38" s="85"/>
      <c r="IVL38" s="85"/>
      <c r="IVM38" s="85"/>
      <c r="IVN38" s="85"/>
      <c r="IVO38" s="85"/>
      <c r="IVP38" s="85"/>
      <c r="IVQ38" s="85"/>
      <c r="IVR38" s="85"/>
      <c r="IVS38" s="85"/>
      <c r="IVT38" s="85"/>
      <c r="IVU38" s="85"/>
      <c r="IVV38" s="85"/>
      <c r="IVW38" s="85"/>
      <c r="IVX38" s="85"/>
      <c r="IVY38" s="85"/>
      <c r="IVZ38" s="85"/>
      <c r="IWA38" s="85"/>
      <c r="IWB38" s="85"/>
      <c r="IWC38" s="85"/>
      <c r="IWD38" s="85"/>
      <c r="IWE38" s="85"/>
      <c r="IWF38" s="85"/>
      <c r="IWG38" s="85"/>
      <c r="IWH38" s="85"/>
      <c r="IWI38" s="85"/>
      <c r="IWJ38" s="85"/>
      <c r="IWK38" s="85"/>
      <c r="IWL38" s="85"/>
      <c r="IWM38" s="85"/>
      <c r="IWN38" s="85"/>
      <c r="IWO38" s="85"/>
      <c r="IWP38" s="85"/>
      <c r="IWQ38" s="85"/>
      <c r="IWR38" s="85"/>
      <c r="IWS38" s="85"/>
      <c r="IWT38" s="85"/>
      <c r="IWU38" s="85"/>
      <c r="IWV38" s="85"/>
      <c r="IWW38" s="85"/>
      <c r="IWX38" s="85"/>
      <c r="IWY38" s="85"/>
      <c r="IWZ38" s="85"/>
      <c r="IXA38" s="85"/>
      <c r="IXB38" s="85"/>
      <c r="IXC38" s="85"/>
      <c r="IXD38" s="85"/>
      <c r="IXE38" s="85"/>
      <c r="IXF38" s="85"/>
      <c r="IXG38" s="85"/>
      <c r="IXH38" s="85"/>
      <c r="IXI38" s="85"/>
      <c r="IXJ38" s="85"/>
      <c r="IXK38" s="85"/>
      <c r="IXL38" s="85"/>
      <c r="IXM38" s="85"/>
      <c r="IXN38" s="85"/>
      <c r="IXO38" s="85"/>
      <c r="IXP38" s="85"/>
      <c r="IXQ38" s="85"/>
      <c r="IXR38" s="85"/>
      <c r="IXS38" s="85"/>
      <c r="IXT38" s="85"/>
      <c r="IXU38" s="85"/>
      <c r="IXV38" s="85"/>
      <c r="IXW38" s="85"/>
      <c r="IXX38" s="85"/>
      <c r="IXY38" s="85"/>
      <c r="IXZ38" s="85"/>
      <c r="IYA38" s="85"/>
      <c r="IYB38" s="85"/>
      <c r="IYC38" s="85"/>
      <c r="IYD38" s="85"/>
      <c r="IYE38" s="85"/>
      <c r="IYF38" s="85"/>
      <c r="IYG38" s="85"/>
      <c r="IYH38" s="85"/>
      <c r="IYI38" s="85"/>
      <c r="IYJ38" s="85"/>
      <c r="IYK38" s="85"/>
      <c r="IYL38" s="85"/>
      <c r="IYM38" s="85"/>
      <c r="IYN38" s="85"/>
      <c r="IYO38" s="85"/>
      <c r="IYP38" s="85"/>
      <c r="IYQ38" s="85"/>
      <c r="IYR38" s="85"/>
      <c r="IYS38" s="85"/>
      <c r="IYT38" s="85"/>
      <c r="IYU38" s="85"/>
      <c r="IYV38" s="85"/>
      <c r="IYW38" s="85"/>
      <c r="IYX38" s="85"/>
      <c r="IYY38" s="85"/>
      <c r="IYZ38" s="85"/>
      <c r="IZA38" s="85"/>
      <c r="IZB38" s="85"/>
      <c r="IZC38" s="85"/>
      <c r="IZD38" s="85"/>
      <c r="IZE38" s="85"/>
      <c r="IZF38" s="85"/>
      <c r="IZG38" s="85"/>
      <c r="IZH38" s="85"/>
      <c r="IZI38" s="85"/>
      <c r="IZJ38" s="85"/>
      <c r="IZK38" s="85"/>
      <c r="IZL38" s="85"/>
      <c r="IZM38" s="85"/>
      <c r="IZN38" s="85"/>
      <c r="IZO38" s="85"/>
      <c r="IZP38" s="85"/>
      <c r="IZQ38" s="85"/>
      <c r="IZR38" s="85"/>
      <c r="IZS38" s="85"/>
      <c r="IZT38" s="85"/>
      <c r="IZU38" s="85"/>
      <c r="IZV38" s="85"/>
      <c r="IZW38" s="85"/>
      <c r="IZX38" s="85"/>
      <c r="IZY38" s="85"/>
      <c r="IZZ38" s="85"/>
      <c r="JAA38" s="85"/>
      <c r="JAB38" s="85"/>
      <c r="JAC38" s="85"/>
      <c r="JAD38" s="85"/>
      <c r="JAE38" s="85"/>
      <c r="JAF38" s="85"/>
      <c r="JAG38" s="85"/>
      <c r="JAH38" s="85"/>
      <c r="JAI38" s="85"/>
      <c r="JAJ38" s="85"/>
      <c r="JAK38" s="85"/>
      <c r="JAL38" s="85"/>
      <c r="JAM38" s="85"/>
      <c r="JAN38" s="85"/>
      <c r="JAO38" s="85"/>
      <c r="JAP38" s="85"/>
      <c r="JAQ38" s="85"/>
      <c r="JAR38" s="85"/>
      <c r="JAS38" s="85"/>
      <c r="JAT38" s="85"/>
      <c r="JAU38" s="85"/>
      <c r="JAV38" s="85"/>
      <c r="JAW38" s="85"/>
      <c r="JAX38" s="85"/>
      <c r="JAY38" s="85"/>
      <c r="JAZ38" s="85"/>
      <c r="JBA38" s="85"/>
      <c r="JBB38" s="85"/>
      <c r="JBC38" s="85"/>
      <c r="JBD38" s="85"/>
      <c r="JBE38" s="85"/>
      <c r="JBF38" s="85"/>
      <c r="JBG38" s="85"/>
      <c r="JBH38" s="85"/>
      <c r="JBI38" s="85"/>
      <c r="JBJ38" s="85"/>
      <c r="JBK38" s="85"/>
      <c r="JBL38" s="85"/>
      <c r="JBM38" s="85"/>
      <c r="JBN38" s="85"/>
      <c r="JBO38" s="85"/>
      <c r="JBP38" s="85"/>
      <c r="JBQ38" s="85"/>
      <c r="JBR38" s="85"/>
      <c r="JBS38" s="85"/>
      <c r="JBT38" s="85"/>
      <c r="JBU38" s="85"/>
      <c r="JBV38" s="85"/>
      <c r="JBW38" s="85"/>
      <c r="JBX38" s="85"/>
      <c r="JBY38" s="85"/>
      <c r="JBZ38" s="85"/>
      <c r="JCA38" s="85"/>
      <c r="JCB38" s="85"/>
      <c r="JCC38" s="85"/>
      <c r="JCD38" s="85"/>
      <c r="JCE38" s="85"/>
      <c r="JCF38" s="85"/>
      <c r="JCG38" s="85"/>
      <c r="JCH38" s="85"/>
      <c r="JCI38" s="85"/>
      <c r="JCJ38" s="85"/>
      <c r="JCK38" s="85"/>
      <c r="JCL38" s="85"/>
      <c r="JCM38" s="85"/>
      <c r="JCN38" s="85"/>
      <c r="JCO38" s="85"/>
      <c r="JCP38" s="85"/>
      <c r="JCQ38" s="85"/>
      <c r="JCR38" s="85"/>
      <c r="JCS38" s="85"/>
      <c r="JCT38" s="85"/>
      <c r="JCU38" s="85"/>
      <c r="JCV38" s="85"/>
      <c r="JCW38" s="85"/>
      <c r="JCX38" s="85"/>
      <c r="JCY38" s="85"/>
      <c r="JCZ38" s="85"/>
      <c r="JDA38" s="85"/>
      <c r="JDB38" s="85"/>
      <c r="JDC38" s="85"/>
      <c r="JDD38" s="85"/>
      <c r="JDE38" s="85"/>
      <c r="JDF38" s="85"/>
      <c r="JDG38" s="85"/>
      <c r="JDH38" s="85"/>
      <c r="JDI38" s="85"/>
      <c r="JDJ38" s="85"/>
      <c r="JDK38" s="85"/>
      <c r="JDL38" s="85"/>
      <c r="JDM38" s="85"/>
      <c r="JDN38" s="85"/>
      <c r="JDO38" s="85"/>
      <c r="JDP38" s="85"/>
      <c r="JDQ38" s="85"/>
      <c r="JDR38" s="85"/>
      <c r="JDS38" s="85"/>
      <c r="JDT38" s="85"/>
      <c r="JDU38" s="85"/>
      <c r="JDV38" s="85"/>
      <c r="JDW38" s="85"/>
      <c r="JDX38" s="85"/>
      <c r="JDY38" s="85"/>
      <c r="JDZ38" s="85"/>
      <c r="JEA38" s="85"/>
      <c r="JEB38" s="85"/>
      <c r="JEC38" s="85"/>
      <c r="JED38" s="85"/>
      <c r="JEE38" s="85"/>
      <c r="JEF38" s="85"/>
      <c r="JEG38" s="85"/>
      <c r="JEH38" s="85"/>
      <c r="JEI38" s="85"/>
      <c r="JEJ38" s="85"/>
      <c r="JEK38" s="85"/>
      <c r="JEL38" s="85"/>
      <c r="JEM38" s="85"/>
      <c r="JEN38" s="85"/>
      <c r="JEO38" s="85"/>
      <c r="JEP38" s="85"/>
      <c r="JEQ38" s="85"/>
      <c r="JER38" s="85"/>
      <c r="JES38" s="85"/>
      <c r="JET38" s="85"/>
      <c r="JEU38" s="85"/>
      <c r="JEV38" s="85"/>
      <c r="JEW38" s="85"/>
      <c r="JEX38" s="85"/>
      <c r="JEY38" s="85"/>
      <c r="JEZ38" s="85"/>
      <c r="JFA38" s="85"/>
      <c r="JFB38" s="85"/>
      <c r="JFC38" s="85"/>
      <c r="JFD38" s="85"/>
      <c r="JFE38" s="85"/>
      <c r="JFF38" s="85"/>
      <c r="JFG38" s="85"/>
      <c r="JFH38" s="85"/>
      <c r="JFI38" s="85"/>
      <c r="JFJ38" s="85"/>
      <c r="JFK38" s="85"/>
      <c r="JFL38" s="85"/>
      <c r="JFM38" s="85"/>
      <c r="JFN38" s="85"/>
      <c r="JFO38" s="85"/>
      <c r="JFP38" s="85"/>
      <c r="JFQ38" s="85"/>
      <c r="JFR38" s="85"/>
      <c r="JFS38" s="85"/>
      <c r="JFT38" s="85"/>
      <c r="JFU38" s="85"/>
      <c r="JFV38" s="85"/>
      <c r="JFW38" s="85"/>
      <c r="JFX38" s="85"/>
      <c r="JFY38" s="85"/>
      <c r="JFZ38" s="85"/>
      <c r="JGA38" s="85"/>
      <c r="JGB38" s="85"/>
      <c r="JGC38" s="85"/>
      <c r="JGD38" s="85"/>
      <c r="JGE38" s="85"/>
      <c r="JGF38" s="85"/>
      <c r="JGG38" s="85"/>
      <c r="JGH38" s="85"/>
      <c r="JGI38" s="85"/>
      <c r="JGJ38" s="85"/>
      <c r="JGK38" s="85"/>
      <c r="JGL38" s="85"/>
      <c r="JGM38" s="85"/>
      <c r="JGN38" s="85"/>
      <c r="JGO38" s="85"/>
      <c r="JGP38" s="85"/>
      <c r="JGQ38" s="85"/>
      <c r="JGR38" s="85"/>
      <c r="JGS38" s="85"/>
      <c r="JGT38" s="85"/>
      <c r="JGU38" s="85"/>
      <c r="JGV38" s="85"/>
      <c r="JGW38" s="85"/>
      <c r="JGX38" s="85"/>
      <c r="JGY38" s="85"/>
      <c r="JGZ38" s="85"/>
      <c r="JHA38" s="85"/>
      <c r="JHB38" s="85"/>
      <c r="JHC38" s="85"/>
      <c r="JHD38" s="85"/>
      <c r="JHE38" s="85"/>
      <c r="JHF38" s="85"/>
      <c r="JHG38" s="85"/>
      <c r="JHH38" s="85"/>
      <c r="JHI38" s="85"/>
      <c r="JHJ38" s="85"/>
      <c r="JHK38" s="85"/>
      <c r="JHL38" s="85"/>
      <c r="JHM38" s="85"/>
      <c r="JHN38" s="85"/>
      <c r="JHO38" s="85"/>
      <c r="JHP38" s="85"/>
      <c r="JHQ38" s="85"/>
      <c r="JHR38" s="85"/>
      <c r="JHS38" s="85"/>
      <c r="JHT38" s="85"/>
      <c r="JHU38" s="85"/>
      <c r="JHV38" s="85"/>
      <c r="JHW38" s="85"/>
      <c r="JHX38" s="85"/>
      <c r="JHY38" s="85"/>
      <c r="JHZ38" s="85"/>
      <c r="JIA38" s="85"/>
      <c r="JIB38" s="85"/>
      <c r="JIC38" s="85"/>
      <c r="JID38" s="85"/>
      <c r="JIE38" s="85"/>
      <c r="JIF38" s="85"/>
      <c r="JIG38" s="85"/>
      <c r="JIH38" s="85"/>
      <c r="JII38" s="85"/>
      <c r="JIJ38" s="85"/>
      <c r="JIK38" s="85"/>
      <c r="JIL38" s="85"/>
      <c r="JIM38" s="85"/>
      <c r="JIN38" s="85"/>
      <c r="JIO38" s="85"/>
      <c r="JIP38" s="85"/>
      <c r="JIQ38" s="85"/>
      <c r="JIR38" s="85"/>
      <c r="JIS38" s="85"/>
      <c r="JIT38" s="85"/>
      <c r="JIU38" s="85"/>
      <c r="JIV38" s="85"/>
      <c r="JIW38" s="85"/>
      <c r="JIX38" s="85"/>
      <c r="JIY38" s="85"/>
      <c r="JIZ38" s="85"/>
      <c r="JJA38" s="85"/>
      <c r="JJB38" s="85"/>
      <c r="JJC38" s="85"/>
      <c r="JJD38" s="85"/>
      <c r="JJE38" s="85"/>
      <c r="JJF38" s="85"/>
      <c r="JJG38" s="85"/>
      <c r="JJH38" s="85"/>
      <c r="JJI38" s="85"/>
      <c r="JJJ38" s="85"/>
      <c r="JJK38" s="85"/>
      <c r="JJL38" s="85"/>
      <c r="JJM38" s="85"/>
      <c r="JJN38" s="85"/>
      <c r="JJO38" s="85"/>
      <c r="JJP38" s="85"/>
      <c r="JJQ38" s="85"/>
      <c r="JJR38" s="85"/>
      <c r="JJS38" s="85"/>
      <c r="JJT38" s="85"/>
      <c r="JJU38" s="85"/>
      <c r="JJV38" s="85"/>
      <c r="JJW38" s="85"/>
      <c r="JJX38" s="85"/>
      <c r="JJY38" s="85"/>
      <c r="JJZ38" s="85"/>
      <c r="JKA38" s="85"/>
      <c r="JKB38" s="85"/>
      <c r="JKC38" s="85"/>
      <c r="JKD38" s="85"/>
      <c r="JKE38" s="85"/>
      <c r="JKF38" s="85"/>
      <c r="JKG38" s="85"/>
      <c r="JKH38" s="85"/>
      <c r="JKI38" s="85"/>
      <c r="JKJ38" s="85"/>
      <c r="JKK38" s="85"/>
      <c r="JKL38" s="85"/>
      <c r="JKM38" s="85"/>
      <c r="JKN38" s="85"/>
      <c r="JKO38" s="85"/>
      <c r="JKP38" s="85"/>
      <c r="JKQ38" s="85"/>
      <c r="JKR38" s="85"/>
      <c r="JKS38" s="85"/>
      <c r="JKT38" s="85"/>
      <c r="JKU38" s="85"/>
      <c r="JKV38" s="85"/>
      <c r="JKW38" s="85"/>
      <c r="JKX38" s="85"/>
      <c r="JKY38" s="85"/>
      <c r="JKZ38" s="85"/>
      <c r="JLA38" s="85"/>
      <c r="JLB38" s="85"/>
      <c r="JLC38" s="85"/>
      <c r="JLD38" s="85"/>
      <c r="JLE38" s="85"/>
      <c r="JLF38" s="85"/>
      <c r="JLG38" s="85"/>
      <c r="JLH38" s="85"/>
      <c r="JLI38" s="85"/>
      <c r="JLJ38" s="85"/>
      <c r="JLK38" s="85"/>
      <c r="JLL38" s="85"/>
      <c r="JLM38" s="85"/>
      <c r="JLN38" s="85"/>
      <c r="JLO38" s="85"/>
      <c r="JLP38" s="85"/>
      <c r="JLQ38" s="85"/>
      <c r="JLR38" s="85"/>
      <c r="JLS38" s="85"/>
      <c r="JLT38" s="85"/>
      <c r="JLU38" s="85"/>
      <c r="JLV38" s="85"/>
      <c r="JLW38" s="85"/>
      <c r="JLX38" s="85"/>
      <c r="JLY38" s="85"/>
      <c r="JLZ38" s="85"/>
      <c r="JMA38" s="85"/>
      <c r="JMB38" s="85"/>
      <c r="JMC38" s="85"/>
      <c r="JMD38" s="85"/>
      <c r="JME38" s="85"/>
      <c r="JMF38" s="85"/>
      <c r="JMG38" s="85"/>
      <c r="JMH38" s="85"/>
      <c r="JMI38" s="85"/>
      <c r="JMJ38" s="85"/>
      <c r="JMK38" s="85"/>
      <c r="JML38" s="85"/>
      <c r="JMM38" s="85"/>
      <c r="JMN38" s="85"/>
      <c r="JMO38" s="85"/>
      <c r="JMP38" s="85"/>
      <c r="JMQ38" s="85"/>
      <c r="JMR38" s="85"/>
      <c r="JMS38" s="85"/>
      <c r="JMT38" s="85"/>
      <c r="JMU38" s="85"/>
      <c r="JMV38" s="85"/>
      <c r="JMW38" s="85"/>
      <c r="JMX38" s="85"/>
      <c r="JMY38" s="85"/>
      <c r="JMZ38" s="85"/>
      <c r="JNA38" s="85"/>
      <c r="JNB38" s="85"/>
      <c r="JNC38" s="85"/>
      <c r="JND38" s="85"/>
      <c r="JNE38" s="85"/>
      <c r="JNF38" s="85"/>
      <c r="JNG38" s="85"/>
      <c r="JNH38" s="85"/>
      <c r="JNI38" s="85"/>
      <c r="JNJ38" s="85"/>
      <c r="JNK38" s="85"/>
      <c r="JNL38" s="85"/>
      <c r="JNM38" s="85"/>
      <c r="JNN38" s="85"/>
      <c r="JNO38" s="85"/>
      <c r="JNP38" s="85"/>
      <c r="JNQ38" s="85"/>
      <c r="JNR38" s="85"/>
      <c r="JNS38" s="85"/>
      <c r="JNT38" s="85"/>
      <c r="JNU38" s="85"/>
      <c r="JNV38" s="85"/>
      <c r="JNW38" s="85"/>
      <c r="JNX38" s="85"/>
      <c r="JNY38" s="85"/>
      <c r="JNZ38" s="85"/>
      <c r="JOA38" s="85"/>
      <c r="JOB38" s="85"/>
      <c r="JOC38" s="85"/>
      <c r="JOD38" s="85"/>
      <c r="JOE38" s="85"/>
      <c r="JOF38" s="85"/>
      <c r="JOG38" s="85"/>
      <c r="JOH38" s="85"/>
      <c r="JOI38" s="85"/>
      <c r="JOJ38" s="85"/>
      <c r="JOK38" s="85"/>
      <c r="JOL38" s="85"/>
      <c r="JOM38" s="85"/>
      <c r="JON38" s="85"/>
      <c r="JOO38" s="85"/>
      <c r="JOP38" s="85"/>
      <c r="JOQ38" s="85"/>
      <c r="JOR38" s="85"/>
      <c r="JOS38" s="85"/>
      <c r="JOT38" s="85"/>
      <c r="JOU38" s="85"/>
      <c r="JOV38" s="85"/>
      <c r="JOW38" s="85"/>
      <c r="JOX38" s="85"/>
      <c r="JOY38" s="85"/>
      <c r="JOZ38" s="85"/>
      <c r="JPA38" s="85"/>
      <c r="JPB38" s="85"/>
      <c r="JPC38" s="85"/>
      <c r="JPD38" s="85"/>
      <c r="JPE38" s="85"/>
      <c r="JPF38" s="85"/>
      <c r="JPG38" s="85"/>
      <c r="JPH38" s="85"/>
      <c r="JPI38" s="85"/>
      <c r="JPJ38" s="85"/>
      <c r="JPK38" s="85"/>
      <c r="JPL38" s="85"/>
      <c r="JPM38" s="85"/>
      <c r="JPN38" s="85"/>
      <c r="JPO38" s="85"/>
      <c r="JPP38" s="85"/>
      <c r="JPQ38" s="85"/>
      <c r="JPR38" s="85"/>
      <c r="JPS38" s="85"/>
      <c r="JPT38" s="85"/>
      <c r="JPU38" s="85"/>
      <c r="JPV38" s="85"/>
      <c r="JPW38" s="85"/>
      <c r="JPX38" s="85"/>
      <c r="JPY38" s="85"/>
      <c r="JPZ38" s="85"/>
      <c r="JQA38" s="85"/>
      <c r="JQB38" s="85"/>
      <c r="JQC38" s="85"/>
      <c r="JQD38" s="85"/>
      <c r="JQE38" s="85"/>
      <c r="JQF38" s="85"/>
      <c r="JQG38" s="85"/>
      <c r="JQH38" s="85"/>
      <c r="JQI38" s="85"/>
      <c r="JQJ38" s="85"/>
      <c r="JQK38" s="85"/>
      <c r="JQL38" s="85"/>
      <c r="JQM38" s="85"/>
      <c r="JQN38" s="85"/>
      <c r="JQO38" s="85"/>
      <c r="JQP38" s="85"/>
      <c r="JQQ38" s="85"/>
      <c r="JQR38" s="85"/>
      <c r="JQS38" s="85"/>
      <c r="JQT38" s="85"/>
      <c r="JQU38" s="85"/>
      <c r="JQV38" s="85"/>
      <c r="JQW38" s="85"/>
      <c r="JQX38" s="85"/>
      <c r="JQY38" s="85"/>
      <c r="JQZ38" s="85"/>
      <c r="JRA38" s="85"/>
      <c r="JRB38" s="85"/>
      <c r="JRC38" s="85"/>
      <c r="JRD38" s="85"/>
      <c r="JRE38" s="85"/>
      <c r="JRF38" s="85"/>
      <c r="JRG38" s="85"/>
      <c r="JRH38" s="85"/>
      <c r="JRI38" s="85"/>
      <c r="JRJ38" s="85"/>
      <c r="JRK38" s="85"/>
      <c r="JRL38" s="85"/>
      <c r="JRM38" s="85"/>
      <c r="JRN38" s="85"/>
      <c r="JRO38" s="85"/>
      <c r="JRP38" s="85"/>
      <c r="JRQ38" s="85"/>
      <c r="JRR38" s="85"/>
      <c r="JRS38" s="85"/>
      <c r="JRT38" s="85"/>
      <c r="JRU38" s="85"/>
      <c r="JRV38" s="85"/>
      <c r="JRW38" s="85"/>
      <c r="JRX38" s="85"/>
      <c r="JRY38" s="85"/>
      <c r="JRZ38" s="85"/>
      <c r="JSA38" s="85"/>
      <c r="JSB38" s="85"/>
      <c r="JSC38" s="85"/>
      <c r="JSD38" s="85"/>
      <c r="JSE38" s="85"/>
      <c r="JSF38" s="85"/>
      <c r="JSG38" s="85"/>
      <c r="JSH38" s="85"/>
      <c r="JSI38" s="85"/>
      <c r="JSJ38" s="85"/>
      <c r="JSK38" s="85"/>
      <c r="JSL38" s="85"/>
      <c r="JSM38" s="85"/>
      <c r="JSN38" s="85"/>
      <c r="JSO38" s="85"/>
      <c r="JSP38" s="85"/>
      <c r="JSQ38" s="85"/>
      <c r="JSR38" s="85"/>
      <c r="JSS38" s="85"/>
      <c r="JST38" s="85"/>
      <c r="JSU38" s="85"/>
      <c r="JSV38" s="85"/>
      <c r="JSW38" s="85"/>
      <c r="JSX38" s="85"/>
      <c r="JSY38" s="85"/>
      <c r="JSZ38" s="85"/>
      <c r="JTA38" s="85"/>
      <c r="JTB38" s="85"/>
      <c r="JTC38" s="85"/>
      <c r="JTD38" s="85"/>
      <c r="JTE38" s="85"/>
      <c r="JTF38" s="85"/>
      <c r="JTG38" s="85"/>
      <c r="JTH38" s="85"/>
      <c r="JTI38" s="85"/>
      <c r="JTJ38" s="85"/>
      <c r="JTK38" s="85"/>
      <c r="JTL38" s="85"/>
      <c r="JTM38" s="85"/>
      <c r="JTN38" s="85"/>
      <c r="JTO38" s="85"/>
      <c r="JTP38" s="85"/>
      <c r="JTQ38" s="85"/>
      <c r="JTR38" s="85"/>
      <c r="JTS38" s="85"/>
      <c r="JTT38" s="85"/>
      <c r="JTU38" s="85"/>
      <c r="JTV38" s="85"/>
      <c r="JTW38" s="85"/>
      <c r="JTX38" s="85"/>
      <c r="JTY38" s="85"/>
      <c r="JTZ38" s="85"/>
      <c r="JUA38" s="85"/>
      <c r="JUB38" s="85"/>
      <c r="JUC38" s="85"/>
      <c r="JUD38" s="85"/>
      <c r="JUE38" s="85"/>
      <c r="JUF38" s="85"/>
      <c r="JUG38" s="85"/>
      <c r="JUH38" s="85"/>
      <c r="JUI38" s="85"/>
      <c r="JUJ38" s="85"/>
      <c r="JUK38" s="85"/>
      <c r="JUL38" s="85"/>
      <c r="JUM38" s="85"/>
      <c r="JUN38" s="85"/>
      <c r="JUO38" s="85"/>
      <c r="JUP38" s="85"/>
      <c r="JUQ38" s="85"/>
      <c r="JUR38" s="85"/>
      <c r="JUS38" s="85"/>
      <c r="JUT38" s="85"/>
      <c r="JUU38" s="85"/>
      <c r="JUV38" s="85"/>
      <c r="JUW38" s="85"/>
      <c r="JUX38" s="85"/>
      <c r="JUY38" s="85"/>
      <c r="JUZ38" s="85"/>
      <c r="JVA38" s="85"/>
      <c r="JVB38" s="85"/>
      <c r="JVC38" s="85"/>
      <c r="JVD38" s="85"/>
      <c r="JVE38" s="85"/>
      <c r="JVF38" s="85"/>
      <c r="JVG38" s="85"/>
      <c r="JVH38" s="85"/>
      <c r="JVI38" s="85"/>
      <c r="JVJ38" s="85"/>
      <c r="JVK38" s="85"/>
      <c r="JVL38" s="85"/>
      <c r="JVM38" s="85"/>
      <c r="JVN38" s="85"/>
      <c r="JVO38" s="85"/>
      <c r="JVP38" s="85"/>
      <c r="JVQ38" s="85"/>
      <c r="JVR38" s="85"/>
      <c r="JVS38" s="85"/>
      <c r="JVT38" s="85"/>
      <c r="JVU38" s="85"/>
      <c r="JVV38" s="85"/>
      <c r="JVW38" s="85"/>
      <c r="JVX38" s="85"/>
      <c r="JVY38" s="85"/>
      <c r="JVZ38" s="85"/>
      <c r="JWA38" s="85"/>
      <c r="JWB38" s="85"/>
      <c r="JWC38" s="85"/>
      <c r="JWD38" s="85"/>
      <c r="JWE38" s="85"/>
      <c r="JWF38" s="85"/>
      <c r="JWG38" s="85"/>
      <c r="JWH38" s="85"/>
      <c r="JWI38" s="85"/>
      <c r="JWJ38" s="85"/>
      <c r="JWK38" s="85"/>
      <c r="JWL38" s="85"/>
      <c r="JWM38" s="85"/>
      <c r="JWN38" s="85"/>
      <c r="JWO38" s="85"/>
      <c r="JWP38" s="85"/>
      <c r="JWQ38" s="85"/>
      <c r="JWR38" s="85"/>
      <c r="JWS38" s="85"/>
      <c r="JWT38" s="85"/>
      <c r="JWU38" s="85"/>
      <c r="JWV38" s="85"/>
      <c r="JWW38" s="85"/>
      <c r="JWX38" s="85"/>
      <c r="JWY38" s="85"/>
      <c r="JWZ38" s="85"/>
      <c r="JXA38" s="85"/>
      <c r="JXB38" s="85"/>
      <c r="JXC38" s="85"/>
      <c r="JXD38" s="85"/>
      <c r="JXE38" s="85"/>
      <c r="JXF38" s="85"/>
      <c r="JXG38" s="85"/>
      <c r="JXH38" s="85"/>
      <c r="JXI38" s="85"/>
      <c r="JXJ38" s="85"/>
      <c r="JXK38" s="85"/>
      <c r="JXL38" s="85"/>
      <c r="JXM38" s="85"/>
      <c r="JXN38" s="85"/>
      <c r="JXO38" s="85"/>
      <c r="JXP38" s="85"/>
      <c r="JXQ38" s="85"/>
      <c r="JXR38" s="85"/>
      <c r="JXS38" s="85"/>
      <c r="JXT38" s="85"/>
      <c r="JXU38" s="85"/>
      <c r="JXV38" s="85"/>
      <c r="JXW38" s="85"/>
      <c r="JXX38" s="85"/>
      <c r="JXY38" s="85"/>
      <c r="JXZ38" s="85"/>
      <c r="JYA38" s="85"/>
      <c r="JYB38" s="85"/>
      <c r="JYC38" s="85"/>
      <c r="JYD38" s="85"/>
      <c r="JYE38" s="85"/>
      <c r="JYF38" s="85"/>
      <c r="JYG38" s="85"/>
      <c r="JYH38" s="85"/>
      <c r="JYI38" s="85"/>
      <c r="JYJ38" s="85"/>
      <c r="JYK38" s="85"/>
      <c r="JYL38" s="85"/>
      <c r="JYM38" s="85"/>
      <c r="JYN38" s="85"/>
      <c r="JYO38" s="85"/>
      <c r="JYP38" s="85"/>
      <c r="JYQ38" s="85"/>
      <c r="JYR38" s="85"/>
      <c r="JYS38" s="85"/>
      <c r="JYT38" s="85"/>
      <c r="JYU38" s="85"/>
      <c r="JYV38" s="85"/>
      <c r="JYW38" s="85"/>
      <c r="JYX38" s="85"/>
      <c r="JYY38" s="85"/>
      <c r="JYZ38" s="85"/>
      <c r="JZA38" s="85"/>
      <c r="JZB38" s="85"/>
      <c r="JZC38" s="85"/>
      <c r="JZD38" s="85"/>
      <c r="JZE38" s="85"/>
      <c r="JZF38" s="85"/>
      <c r="JZG38" s="85"/>
      <c r="JZH38" s="85"/>
      <c r="JZI38" s="85"/>
      <c r="JZJ38" s="85"/>
      <c r="JZK38" s="85"/>
      <c r="JZL38" s="85"/>
      <c r="JZM38" s="85"/>
      <c r="JZN38" s="85"/>
      <c r="JZO38" s="85"/>
      <c r="JZP38" s="85"/>
      <c r="JZQ38" s="85"/>
      <c r="JZR38" s="85"/>
      <c r="JZS38" s="85"/>
      <c r="JZT38" s="85"/>
      <c r="JZU38" s="85"/>
      <c r="JZV38" s="85"/>
      <c r="JZW38" s="85"/>
      <c r="JZX38" s="85"/>
      <c r="JZY38" s="85"/>
      <c r="JZZ38" s="85"/>
      <c r="KAA38" s="85"/>
      <c r="KAB38" s="85"/>
      <c r="KAC38" s="85"/>
      <c r="KAD38" s="85"/>
      <c r="KAE38" s="85"/>
      <c r="KAF38" s="85"/>
      <c r="KAG38" s="85"/>
      <c r="KAH38" s="85"/>
      <c r="KAI38" s="85"/>
      <c r="KAJ38" s="85"/>
      <c r="KAK38" s="85"/>
      <c r="KAL38" s="85"/>
      <c r="KAM38" s="85"/>
      <c r="KAN38" s="85"/>
      <c r="KAO38" s="85"/>
      <c r="KAP38" s="85"/>
      <c r="KAQ38" s="85"/>
      <c r="KAR38" s="85"/>
      <c r="KAS38" s="85"/>
      <c r="KAT38" s="85"/>
      <c r="KAU38" s="85"/>
      <c r="KAV38" s="85"/>
      <c r="KAW38" s="85"/>
      <c r="KAX38" s="85"/>
      <c r="KAY38" s="85"/>
      <c r="KAZ38" s="85"/>
      <c r="KBA38" s="85"/>
      <c r="KBB38" s="85"/>
      <c r="KBC38" s="85"/>
      <c r="KBD38" s="85"/>
      <c r="KBE38" s="85"/>
      <c r="KBF38" s="85"/>
      <c r="KBG38" s="85"/>
      <c r="KBH38" s="85"/>
      <c r="KBI38" s="85"/>
      <c r="KBJ38" s="85"/>
      <c r="KBK38" s="85"/>
      <c r="KBL38" s="85"/>
      <c r="KBM38" s="85"/>
      <c r="KBN38" s="85"/>
      <c r="KBO38" s="85"/>
      <c r="KBP38" s="85"/>
      <c r="KBQ38" s="85"/>
      <c r="KBR38" s="85"/>
      <c r="KBS38" s="85"/>
      <c r="KBT38" s="85"/>
      <c r="KBU38" s="85"/>
      <c r="KBV38" s="85"/>
      <c r="KBW38" s="85"/>
      <c r="KBX38" s="85"/>
      <c r="KBY38" s="85"/>
      <c r="KBZ38" s="85"/>
      <c r="KCA38" s="85"/>
      <c r="KCB38" s="85"/>
      <c r="KCC38" s="85"/>
      <c r="KCD38" s="85"/>
      <c r="KCE38" s="85"/>
      <c r="KCF38" s="85"/>
      <c r="KCG38" s="85"/>
      <c r="KCH38" s="85"/>
      <c r="KCI38" s="85"/>
      <c r="KCJ38" s="85"/>
      <c r="KCK38" s="85"/>
      <c r="KCL38" s="85"/>
      <c r="KCM38" s="85"/>
      <c r="KCN38" s="85"/>
      <c r="KCO38" s="85"/>
      <c r="KCP38" s="85"/>
      <c r="KCQ38" s="85"/>
      <c r="KCR38" s="85"/>
      <c r="KCS38" s="85"/>
      <c r="KCT38" s="85"/>
      <c r="KCU38" s="85"/>
      <c r="KCV38" s="85"/>
      <c r="KCW38" s="85"/>
      <c r="KCX38" s="85"/>
      <c r="KCY38" s="85"/>
      <c r="KCZ38" s="85"/>
      <c r="KDA38" s="85"/>
      <c r="KDB38" s="85"/>
      <c r="KDC38" s="85"/>
      <c r="KDD38" s="85"/>
      <c r="KDE38" s="85"/>
      <c r="KDF38" s="85"/>
      <c r="KDG38" s="85"/>
      <c r="KDH38" s="85"/>
      <c r="KDI38" s="85"/>
      <c r="KDJ38" s="85"/>
      <c r="KDK38" s="85"/>
      <c r="KDL38" s="85"/>
      <c r="KDM38" s="85"/>
      <c r="KDN38" s="85"/>
      <c r="KDO38" s="85"/>
      <c r="KDP38" s="85"/>
      <c r="KDQ38" s="85"/>
      <c r="KDR38" s="85"/>
      <c r="KDS38" s="85"/>
      <c r="KDT38" s="85"/>
      <c r="KDU38" s="85"/>
      <c r="KDV38" s="85"/>
      <c r="KDW38" s="85"/>
      <c r="KDX38" s="85"/>
      <c r="KDY38" s="85"/>
      <c r="KDZ38" s="85"/>
      <c r="KEA38" s="85"/>
      <c r="KEB38" s="85"/>
      <c r="KEC38" s="85"/>
      <c r="KED38" s="85"/>
      <c r="KEE38" s="85"/>
      <c r="KEF38" s="85"/>
      <c r="KEG38" s="85"/>
      <c r="KEH38" s="85"/>
      <c r="KEI38" s="85"/>
      <c r="KEJ38" s="85"/>
      <c r="KEK38" s="85"/>
      <c r="KEL38" s="85"/>
      <c r="KEM38" s="85"/>
      <c r="KEN38" s="85"/>
      <c r="KEO38" s="85"/>
      <c r="KEP38" s="85"/>
      <c r="KEQ38" s="85"/>
      <c r="KER38" s="85"/>
      <c r="KES38" s="85"/>
      <c r="KET38" s="85"/>
      <c r="KEU38" s="85"/>
      <c r="KEV38" s="85"/>
      <c r="KEW38" s="85"/>
      <c r="KEX38" s="85"/>
      <c r="KEY38" s="85"/>
      <c r="KEZ38" s="85"/>
      <c r="KFA38" s="85"/>
      <c r="KFB38" s="85"/>
      <c r="KFC38" s="85"/>
      <c r="KFD38" s="85"/>
      <c r="KFE38" s="85"/>
      <c r="KFF38" s="85"/>
      <c r="KFG38" s="85"/>
      <c r="KFH38" s="85"/>
      <c r="KFI38" s="85"/>
      <c r="KFJ38" s="85"/>
      <c r="KFK38" s="85"/>
      <c r="KFL38" s="85"/>
      <c r="KFM38" s="85"/>
      <c r="KFN38" s="85"/>
      <c r="KFO38" s="85"/>
      <c r="KFP38" s="85"/>
      <c r="KFQ38" s="85"/>
      <c r="KFR38" s="85"/>
      <c r="KFS38" s="85"/>
      <c r="KFT38" s="85"/>
      <c r="KFU38" s="85"/>
      <c r="KFV38" s="85"/>
      <c r="KFW38" s="85"/>
      <c r="KFX38" s="85"/>
      <c r="KFY38" s="85"/>
      <c r="KFZ38" s="85"/>
      <c r="KGA38" s="85"/>
      <c r="KGB38" s="85"/>
      <c r="KGC38" s="85"/>
      <c r="KGD38" s="85"/>
      <c r="KGE38" s="85"/>
      <c r="KGF38" s="85"/>
      <c r="KGG38" s="85"/>
      <c r="KGH38" s="85"/>
      <c r="KGI38" s="85"/>
      <c r="KGJ38" s="85"/>
      <c r="KGK38" s="85"/>
      <c r="KGL38" s="85"/>
      <c r="KGM38" s="85"/>
      <c r="KGN38" s="85"/>
      <c r="KGO38" s="85"/>
      <c r="KGP38" s="85"/>
      <c r="KGQ38" s="85"/>
      <c r="KGR38" s="85"/>
      <c r="KGS38" s="85"/>
      <c r="KGT38" s="85"/>
      <c r="KGU38" s="85"/>
      <c r="KGV38" s="85"/>
      <c r="KGW38" s="85"/>
      <c r="KGX38" s="85"/>
      <c r="KGY38" s="85"/>
      <c r="KGZ38" s="85"/>
      <c r="KHA38" s="85"/>
      <c r="KHB38" s="85"/>
      <c r="KHC38" s="85"/>
      <c r="KHD38" s="85"/>
      <c r="KHE38" s="85"/>
      <c r="KHF38" s="85"/>
      <c r="KHG38" s="85"/>
      <c r="KHH38" s="85"/>
      <c r="KHI38" s="85"/>
      <c r="KHJ38" s="85"/>
      <c r="KHK38" s="85"/>
      <c r="KHL38" s="85"/>
      <c r="KHM38" s="85"/>
      <c r="KHN38" s="85"/>
      <c r="KHO38" s="85"/>
      <c r="KHP38" s="85"/>
      <c r="KHQ38" s="85"/>
      <c r="KHR38" s="85"/>
      <c r="KHS38" s="85"/>
      <c r="KHT38" s="85"/>
      <c r="KHU38" s="85"/>
      <c r="KHV38" s="85"/>
      <c r="KHW38" s="85"/>
      <c r="KHX38" s="85"/>
      <c r="KHY38" s="85"/>
      <c r="KHZ38" s="85"/>
      <c r="KIA38" s="85"/>
      <c r="KIB38" s="85"/>
      <c r="KIC38" s="85"/>
      <c r="KID38" s="85"/>
      <c r="KIE38" s="85"/>
      <c r="KIF38" s="85"/>
      <c r="KIG38" s="85"/>
      <c r="KIH38" s="85"/>
      <c r="KII38" s="85"/>
      <c r="KIJ38" s="85"/>
      <c r="KIK38" s="85"/>
      <c r="KIL38" s="85"/>
      <c r="KIM38" s="85"/>
      <c r="KIN38" s="85"/>
      <c r="KIO38" s="85"/>
      <c r="KIP38" s="85"/>
      <c r="KIQ38" s="85"/>
      <c r="KIR38" s="85"/>
      <c r="KIS38" s="85"/>
      <c r="KIT38" s="85"/>
      <c r="KIU38" s="85"/>
      <c r="KIV38" s="85"/>
      <c r="KIW38" s="85"/>
      <c r="KIX38" s="85"/>
      <c r="KIY38" s="85"/>
      <c r="KIZ38" s="85"/>
      <c r="KJA38" s="85"/>
      <c r="KJB38" s="85"/>
      <c r="KJC38" s="85"/>
      <c r="KJD38" s="85"/>
      <c r="KJE38" s="85"/>
      <c r="KJF38" s="85"/>
      <c r="KJG38" s="85"/>
      <c r="KJH38" s="85"/>
      <c r="KJI38" s="85"/>
      <c r="KJJ38" s="85"/>
      <c r="KJK38" s="85"/>
      <c r="KJL38" s="85"/>
      <c r="KJM38" s="85"/>
      <c r="KJN38" s="85"/>
      <c r="KJO38" s="85"/>
      <c r="KJP38" s="85"/>
      <c r="KJQ38" s="85"/>
      <c r="KJR38" s="85"/>
      <c r="KJS38" s="85"/>
      <c r="KJT38" s="85"/>
      <c r="KJU38" s="85"/>
      <c r="KJV38" s="85"/>
      <c r="KJW38" s="85"/>
      <c r="KJX38" s="85"/>
      <c r="KJY38" s="85"/>
      <c r="KJZ38" s="85"/>
      <c r="KKA38" s="85"/>
      <c r="KKB38" s="85"/>
      <c r="KKC38" s="85"/>
      <c r="KKD38" s="85"/>
      <c r="KKE38" s="85"/>
      <c r="KKF38" s="85"/>
      <c r="KKG38" s="85"/>
      <c r="KKH38" s="85"/>
      <c r="KKI38" s="85"/>
      <c r="KKJ38" s="85"/>
      <c r="KKK38" s="85"/>
      <c r="KKL38" s="85"/>
      <c r="KKM38" s="85"/>
      <c r="KKN38" s="85"/>
      <c r="KKO38" s="85"/>
      <c r="KKP38" s="85"/>
      <c r="KKQ38" s="85"/>
      <c r="KKR38" s="85"/>
      <c r="KKS38" s="85"/>
      <c r="KKT38" s="85"/>
      <c r="KKU38" s="85"/>
      <c r="KKV38" s="85"/>
      <c r="KKW38" s="85"/>
      <c r="KKX38" s="85"/>
      <c r="KKY38" s="85"/>
      <c r="KKZ38" s="85"/>
      <c r="KLA38" s="85"/>
      <c r="KLB38" s="85"/>
      <c r="KLC38" s="85"/>
      <c r="KLD38" s="85"/>
      <c r="KLE38" s="85"/>
      <c r="KLF38" s="85"/>
      <c r="KLG38" s="85"/>
      <c r="KLH38" s="85"/>
      <c r="KLI38" s="85"/>
      <c r="KLJ38" s="85"/>
      <c r="KLK38" s="85"/>
      <c r="KLL38" s="85"/>
      <c r="KLM38" s="85"/>
      <c r="KLN38" s="85"/>
      <c r="KLO38" s="85"/>
      <c r="KLP38" s="85"/>
      <c r="KLQ38" s="85"/>
      <c r="KLR38" s="85"/>
      <c r="KLS38" s="85"/>
      <c r="KLT38" s="85"/>
      <c r="KLU38" s="85"/>
      <c r="KLV38" s="85"/>
      <c r="KLW38" s="85"/>
      <c r="KLX38" s="85"/>
      <c r="KLY38" s="85"/>
      <c r="KLZ38" s="85"/>
      <c r="KMA38" s="85"/>
      <c r="KMB38" s="85"/>
      <c r="KMC38" s="85"/>
      <c r="KMD38" s="85"/>
      <c r="KME38" s="85"/>
      <c r="KMF38" s="85"/>
      <c r="KMG38" s="85"/>
      <c r="KMH38" s="85"/>
      <c r="KMI38" s="85"/>
      <c r="KMJ38" s="85"/>
      <c r="KMK38" s="85"/>
      <c r="KML38" s="85"/>
      <c r="KMM38" s="85"/>
      <c r="KMN38" s="85"/>
      <c r="KMO38" s="85"/>
      <c r="KMP38" s="85"/>
      <c r="KMQ38" s="85"/>
      <c r="KMR38" s="85"/>
      <c r="KMS38" s="85"/>
      <c r="KMT38" s="85"/>
      <c r="KMU38" s="85"/>
      <c r="KMV38" s="85"/>
      <c r="KMW38" s="85"/>
      <c r="KMX38" s="85"/>
      <c r="KMY38" s="85"/>
      <c r="KMZ38" s="85"/>
      <c r="KNA38" s="85"/>
      <c r="KNB38" s="85"/>
      <c r="KNC38" s="85"/>
      <c r="KND38" s="85"/>
      <c r="KNE38" s="85"/>
      <c r="KNF38" s="85"/>
      <c r="KNG38" s="85"/>
      <c r="KNH38" s="85"/>
      <c r="KNI38" s="85"/>
      <c r="KNJ38" s="85"/>
      <c r="KNK38" s="85"/>
      <c r="KNL38" s="85"/>
      <c r="KNM38" s="85"/>
      <c r="KNN38" s="85"/>
      <c r="KNO38" s="85"/>
      <c r="KNP38" s="85"/>
      <c r="KNQ38" s="85"/>
      <c r="KNR38" s="85"/>
      <c r="KNS38" s="85"/>
      <c r="KNT38" s="85"/>
      <c r="KNU38" s="85"/>
      <c r="KNV38" s="85"/>
      <c r="KNW38" s="85"/>
      <c r="KNX38" s="85"/>
      <c r="KNY38" s="85"/>
      <c r="KNZ38" s="85"/>
      <c r="KOA38" s="85"/>
      <c r="KOB38" s="85"/>
      <c r="KOC38" s="85"/>
      <c r="KOD38" s="85"/>
      <c r="KOE38" s="85"/>
      <c r="KOF38" s="85"/>
      <c r="KOG38" s="85"/>
      <c r="KOH38" s="85"/>
      <c r="KOI38" s="85"/>
      <c r="KOJ38" s="85"/>
      <c r="KOK38" s="85"/>
      <c r="KOL38" s="85"/>
      <c r="KOM38" s="85"/>
      <c r="KON38" s="85"/>
      <c r="KOO38" s="85"/>
      <c r="KOP38" s="85"/>
      <c r="KOQ38" s="85"/>
      <c r="KOR38" s="85"/>
      <c r="KOS38" s="85"/>
      <c r="KOT38" s="85"/>
      <c r="KOU38" s="85"/>
      <c r="KOV38" s="85"/>
      <c r="KOW38" s="85"/>
      <c r="KOX38" s="85"/>
      <c r="KOY38" s="85"/>
      <c r="KOZ38" s="85"/>
      <c r="KPA38" s="85"/>
      <c r="KPB38" s="85"/>
      <c r="KPC38" s="85"/>
      <c r="KPD38" s="85"/>
      <c r="KPE38" s="85"/>
      <c r="KPF38" s="85"/>
      <c r="KPG38" s="85"/>
      <c r="KPH38" s="85"/>
      <c r="KPI38" s="85"/>
      <c r="KPJ38" s="85"/>
      <c r="KPK38" s="85"/>
      <c r="KPL38" s="85"/>
      <c r="KPM38" s="85"/>
      <c r="KPN38" s="85"/>
      <c r="KPO38" s="85"/>
      <c r="KPP38" s="85"/>
      <c r="KPQ38" s="85"/>
      <c r="KPR38" s="85"/>
      <c r="KPS38" s="85"/>
      <c r="KPT38" s="85"/>
      <c r="KPU38" s="85"/>
      <c r="KPV38" s="85"/>
      <c r="KPW38" s="85"/>
      <c r="KPX38" s="85"/>
      <c r="KPY38" s="85"/>
      <c r="KPZ38" s="85"/>
      <c r="KQA38" s="85"/>
      <c r="KQB38" s="85"/>
      <c r="KQC38" s="85"/>
      <c r="KQD38" s="85"/>
      <c r="KQE38" s="85"/>
      <c r="KQF38" s="85"/>
      <c r="KQG38" s="85"/>
      <c r="KQH38" s="85"/>
      <c r="KQI38" s="85"/>
      <c r="KQJ38" s="85"/>
      <c r="KQK38" s="85"/>
      <c r="KQL38" s="85"/>
      <c r="KQM38" s="85"/>
      <c r="KQN38" s="85"/>
      <c r="KQO38" s="85"/>
      <c r="KQP38" s="85"/>
      <c r="KQQ38" s="85"/>
      <c r="KQR38" s="85"/>
      <c r="KQS38" s="85"/>
      <c r="KQT38" s="85"/>
      <c r="KQU38" s="85"/>
      <c r="KQV38" s="85"/>
      <c r="KQW38" s="85"/>
      <c r="KQX38" s="85"/>
      <c r="KQY38" s="85"/>
      <c r="KQZ38" s="85"/>
      <c r="KRA38" s="85"/>
      <c r="KRB38" s="85"/>
      <c r="KRC38" s="85"/>
      <c r="KRD38" s="85"/>
      <c r="KRE38" s="85"/>
      <c r="KRF38" s="85"/>
      <c r="KRG38" s="85"/>
      <c r="KRH38" s="85"/>
      <c r="KRI38" s="85"/>
      <c r="KRJ38" s="85"/>
      <c r="KRK38" s="85"/>
      <c r="KRL38" s="85"/>
      <c r="KRM38" s="85"/>
      <c r="KRN38" s="85"/>
      <c r="KRO38" s="85"/>
      <c r="KRP38" s="85"/>
      <c r="KRQ38" s="85"/>
      <c r="KRR38" s="85"/>
      <c r="KRS38" s="85"/>
      <c r="KRT38" s="85"/>
      <c r="KRU38" s="85"/>
      <c r="KRV38" s="85"/>
      <c r="KRW38" s="85"/>
      <c r="KRX38" s="85"/>
      <c r="KRY38" s="85"/>
      <c r="KRZ38" s="85"/>
      <c r="KSA38" s="85"/>
      <c r="KSB38" s="85"/>
      <c r="KSC38" s="85"/>
      <c r="KSD38" s="85"/>
      <c r="KSE38" s="85"/>
      <c r="KSF38" s="85"/>
      <c r="KSG38" s="85"/>
      <c r="KSH38" s="85"/>
      <c r="KSI38" s="85"/>
      <c r="KSJ38" s="85"/>
      <c r="KSK38" s="85"/>
      <c r="KSL38" s="85"/>
      <c r="KSM38" s="85"/>
      <c r="KSN38" s="85"/>
      <c r="KSO38" s="85"/>
      <c r="KSP38" s="85"/>
      <c r="KSQ38" s="85"/>
      <c r="KSR38" s="85"/>
      <c r="KSS38" s="85"/>
      <c r="KST38" s="85"/>
      <c r="KSU38" s="85"/>
      <c r="KSV38" s="85"/>
      <c r="KSW38" s="85"/>
      <c r="KSX38" s="85"/>
      <c r="KSY38" s="85"/>
      <c r="KSZ38" s="85"/>
      <c r="KTA38" s="85"/>
      <c r="KTB38" s="85"/>
      <c r="KTC38" s="85"/>
      <c r="KTD38" s="85"/>
      <c r="KTE38" s="85"/>
      <c r="KTF38" s="85"/>
      <c r="KTG38" s="85"/>
      <c r="KTH38" s="85"/>
      <c r="KTI38" s="85"/>
      <c r="KTJ38" s="85"/>
      <c r="KTK38" s="85"/>
      <c r="KTL38" s="85"/>
      <c r="KTM38" s="85"/>
      <c r="KTN38" s="85"/>
      <c r="KTO38" s="85"/>
      <c r="KTP38" s="85"/>
      <c r="KTQ38" s="85"/>
      <c r="KTR38" s="85"/>
      <c r="KTS38" s="85"/>
      <c r="KTT38" s="85"/>
      <c r="KTU38" s="85"/>
      <c r="KTV38" s="85"/>
      <c r="KTW38" s="85"/>
      <c r="KTX38" s="85"/>
      <c r="KTY38" s="85"/>
      <c r="KTZ38" s="85"/>
      <c r="KUA38" s="85"/>
      <c r="KUB38" s="85"/>
      <c r="KUC38" s="85"/>
      <c r="KUD38" s="85"/>
      <c r="KUE38" s="85"/>
      <c r="KUF38" s="85"/>
      <c r="KUG38" s="85"/>
      <c r="KUH38" s="85"/>
      <c r="KUI38" s="85"/>
      <c r="KUJ38" s="85"/>
      <c r="KUK38" s="85"/>
      <c r="KUL38" s="85"/>
      <c r="KUM38" s="85"/>
      <c r="KUN38" s="85"/>
      <c r="KUO38" s="85"/>
      <c r="KUP38" s="85"/>
      <c r="KUQ38" s="85"/>
      <c r="KUR38" s="85"/>
      <c r="KUS38" s="85"/>
      <c r="KUT38" s="85"/>
      <c r="KUU38" s="85"/>
      <c r="KUV38" s="85"/>
      <c r="KUW38" s="85"/>
      <c r="KUX38" s="85"/>
      <c r="KUY38" s="85"/>
      <c r="KUZ38" s="85"/>
      <c r="KVA38" s="85"/>
      <c r="KVB38" s="85"/>
      <c r="KVC38" s="85"/>
      <c r="KVD38" s="85"/>
      <c r="KVE38" s="85"/>
      <c r="KVF38" s="85"/>
      <c r="KVG38" s="85"/>
      <c r="KVH38" s="85"/>
      <c r="KVI38" s="85"/>
      <c r="KVJ38" s="85"/>
      <c r="KVK38" s="85"/>
      <c r="KVL38" s="85"/>
      <c r="KVM38" s="85"/>
      <c r="KVN38" s="85"/>
      <c r="KVO38" s="85"/>
      <c r="KVP38" s="85"/>
      <c r="KVQ38" s="85"/>
      <c r="KVR38" s="85"/>
      <c r="KVS38" s="85"/>
      <c r="KVT38" s="85"/>
      <c r="KVU38" s="85"/>
      <c r="KVV38" s="85"/>
      <c r="KVW38" s="85"/>
      <c r="KVX38" s="85"/>
      <c r="KVY38" s="85"/>
      <c r="KVZ38" s="85"/>
      <c r="KWA38" s="85"/>
      <c r="KWB38" s="85"/>
      <c r="KWC38" s="85"/>
      <c r="KWD38" s="85"/>
      <c r="KWE38" s="85"/>
      <c r="KWF38" s="85"/>
      <c r="KWG38" s="85"/>
      <c r="KWH38" s="85"/>
      <c r="KWI38" s="85"/>
      <c r="KWJ38" s="85"/>
      <c r="KWK38" s="85"/>
      <c r="KWL38" s="85"/>
      <c r="KWM38" s="85"/>
      <c r="KWN38" s="85"/>
      <c r="KWO38" s="85"/>
      <c r="KWP38" s="85"/>
      <c r="KWQ38" s="85"/>
      <c r="KWR38" s="85"/>
      <c r="KWS38" s="85"/>
      <c r="KWT38" s="85"/>
      <c r="KWU38" s="85"/>
      <c r="KWV38" s="85"/>
      <c r="KWW38" s="85"/>
      <c r="KWX38" s="85"/>
      <c r="KWY38" s="85"/>
      <c r="KWZ38" s="85"/>
      <c r="KXA38" s="85"/>
      <c r="KXB38" s="85"/>
      <c r="KXC38" s="85"/>
      <c r="KXD38" s="85"/>
      <c r="KXE38" s="85"/>
      <c r="KXF38" s="85"/>
      <c r="KXG38" s="85"/>
      <c r="KXH38" s="85"/>
      <c r="KXI38" s="85"/>
      <c r="KXJ38" s="85"/>
      <c r="KXK38" s="85"/>
      <c r="KXL38" s="85"/>
      <c r="KXM38" s="85"/>
      <c r="KXN38" s="85"/>
      <c r="KXO38" s="85"/>
      <c r="KXP38" s="85"/>
      <c r="KXQ38" s="85"/>
      <c r="KXR38" s="85"/>
      <c r="KXS38" s="85"/>
      <c r="KXT38" s="85"/>
      <c r="KXU38" s="85"/>
      <c r="KXV38" s="85"/>
      <c r="KXW38" s="85"/>
      <c r="KXX38" s="85"/>
      <c r="KXY38" s="85"/>
      <c r="KXZ38" s="85"/>
      <c r="KYA38" s="85"/>
      <c r="KYB38" s="85"/>
      <c r="KYC38" s="85"/>
      <c r="KYD38" s="85"/>
      <c r="KYE38" s="85"/>
      <c r="KYF38" s="85"/>
      <c r="KYG38" s="85"/>
      <c r="KYH38" s="85"/>
      <c r="KYI38" s="85"/>
      <c r="KYJ38" s="85"/>
      <c r="KYK38" s="85"/>
      <c r="KYL38" s="85"/>
      <c r="KYM38" s="85"/>
      <c r="KYN38" s="85"/>
      <c r="KYO38" s="85"/>
      <c r="KYP38" s="85"/>
      <c r="KYQ38" s="85"/>
      <c r="KYR38" s="85"/>
      <c r="KYS38" s="85"/>
      <c r="KYT38" s="85"/>
      <c r="KYU38" s="85"/>
      <c r="KYV38" s="85"/>
      <c r="KYW38" s="85"/>
      <c r="KYX38" s="85"/>
      <c r="KYY38" s="85"/>
      <c r="KYZ38" s="85"/>
      <c r="KZA38" s="85"/>
      <c r="KZB38" s="85"/>
      <c r="KZC38" s="85"/>
      <c r="KZD38" s="85"/>
      <c r="KZE38" s="85"/>
      <c r="KZF38" s="85"/>
      <c r="KZG38" s="85"/>
      <c r="KZH38" s="85"/>
      <c r="KZI38" s="85"/>
      <c r="KZJ38" s="85"/>
      <c r="KZK38" s="85"/>
      <c r="KZL38" s="85"/>
      <c r="KZM38" s="85"/>
      <c r="KZN38" s="85"/>
      <c r="KZO38" s="85"/>
      <c r="KZP38" s="85"/>
      <c r="KZQ38" s="85"/>
      <c r="KZR38" s="85"/>
      <c r="KZS38" s="85"/>
      <c r="KZT38" s="85"/>
      <c r="KZU38" s="85"/>
      <c r="KZV38" s="85"/>
      <c r="KZW38" s="85"/>
      <c r="KZX38" s="85"/>
      <c r="KZY38" s="85"/>
      <c r="KZZ38" s="85"/>
      <c r="LAA38" s="85"/>
      <c r="LAB38" s="85"/>
      <c r="LAC38" s="85"/>
      <c r="LAD38" s="85"/>
      <c r="LAE38" s="85"/>
      <c r="LAF38" s="85"/>
      <c r="LAG38" s="85"/>
      <c r="LAH38" s="85"/>
      <c r="LAI38" s="85"/>
      <c r="LAJ38" s="85"/>
      <c r="LAK38" s="85"/>
      <c r="LAL38" s="85"/>
      <c r="LAM38" s="85"/>
      <c r="LAN38" s="85"/>
      <c r="LAO38" s="85"/>
      <c r="LAP38" s="85"/>
      <c r="LAQ38" s="85"/>
      <c r="LAR38" s="85"/>
      <c r="LAS38" s="85"/>
      <c r="LAT38" s="85"/>
      <c r="LAU38" s="85"/>
      <c r="LAV38" s="85"/>
      <c r="LAW38" s="85"/>
      <c r="LAX38" s="85"/>
      <c r="LAY38" s="85"/>
      <c r="LAZ38" s="85"/>
      <c r="LBA38" s="85"/>
      <c r="LBB38" s="85"/>
      <c r="LBC38" s="85"/>
      <c r="LBD38" s="85"/>
      <c r="LBE38" s="85"/>
      <c r="LBF38" s="85"/>
      <c r="LBG38" s="85"/>
      <c r="LBH38" s="85"/>
      <c r="LBI38" s="85"/>
      <c r="LBJ38" s="85"/>
      <c r="LBK38" s="85"/>
      <c r="LBL38" s="85"/>
      <c r="LBM38" s="85"/>
      <c r="LBN38" s="85"/>
      <c r="LBO38" s="85"/>
      <c r="LBP38" s="85"/>
      <c r="LBQ38" s="85"/>
      <c r="LBR38" s="85"/>
      <c r="LBS38" s="85"/>
      <c r="LBT38" s="85"/>
      <c r="LBU38" s="85"/>
      <c r="LBV38" s="85"/>
      <c r="LBW38" s="85"/>
      <c r="LBX38" s="85"/>
      <c r="LBY38" s="85"/>
      <c r="LBZ38" s="85"/>
      <c r="LCA38" s="85"/>
      <c r="LCB38" s="85"/>
      <c r="LCC38" s="85"/>
      <c r="LCD38" s="85"/>
      <c r="LCE38" s="85"/>
      <c r="LCF38" s="85"/>
      <c r="LCG38" s="85"/>
      <c r="LCH38" s="85"/>
      <c r="LCI38" s="85"/>
      <c r="LCJ38" s="85"/>
      <c r="LCK38" s="85"/>
      <c r="LCL38" s="85"/>
      <c r="LCM38" s="85"/>
      <c r="LCN38" s="85"/>
      <c r="LCO38" s="85"/>
      <c r="LCP38" s="85"/>
      <c r="LCQ38" s="85"/>
      <c r="LCR38" s="85"/>
      <c r="LCS38" s="85"/>
      <c r="LCT38" s="85"/>
      <c r="LCU38" s="85"/>
      <c r="LCV38" s="85"/>
      <c r="LCW38" s="85"/>
      <c r="LCX38" s="85"/>
      <c r="LCY38" s="85"/>
      <c r="LCZ38" s="85"/>
      <c r="LDA38" s="85"/>
      <c r="LDB38" s="85"/>
      <c r="LDC38" s="85"/>
      <c r="LDD38" s="85"/>
      <c r="LDE38" s="85"/>
      <c r="LDF38" s="85"/>
      <c r="LDG38" s="85"/>
      <c r="LDH38" s="85"/>
      <c r="LDI38" s="85"/>
      <c r="LDJ38" s="85"/>
      <c r="LDK38" s="85"/>
      <c r="LDL38" s="85"/>
      <c r="LDM38" s="85"/>
      <c r="LDN38" s="85"/>
      <c r="LDO38" s="85"/>
      <c r="LDP38" s="85"/>
      <c r="LDQ38" s="85"/>
      <c r="LDR38" s="85"/>
      <c r="LDS38" s="85"/>
      <c r="LDT38" s="85"/>
      <c r="LDU38" s="85"/>
      <c r="LDV38" s="85"/>
      <c r="LDW38" s="85"/>
      <c r="LDX38" s="85"/>
      <c r="LDY38" s="85"/>
      <c r="LDZ38" s="85"/>
      <c r="LEA38" s="85"/>
      <c r="LEB38" s="85"/>
      <c r="LEC38" s="85"/>
      <c r="LED38" s="85"/>
      <c r="LEE38" s="85"/>
      <c r="LEF38" s="85"/>
      <c r="LEG38" s="85"/>
      <c r="LEH38" s="85"/>
      <c r="LEI38" s="85"/>
      <c r="LEJ38" s="85"/>
      <c r="LEK38" s="85"/>
      <c r="LEL38" s="85"/>
      <c r="LEM38" s="85"/>
      <c r="LEN38" s="85"/>
      <c r="LEO38" s="85"/>
      <c r="LEP38" s="85"/>
      <c r="LEQ38" s="85"/>
      <c r="LER38" s="85"/>
      <c r="LES38" s="85"/>
      <c r="LET38" s="85"/>
      <c r="LEU38" s="85"/>
      <c r="LEV38" s="85"/>
      <c r="LEW38" s="85"/>
      <c r="LEX38" s="85"/>
      <c r="LEY38" s="85"/>
      <c r="LEZ38" s="85"/>
      <c r="LFA38" s="85"/>
      <c r="LFB38" s="85"/>
      <c r="LFC38" s="85"/>
      <c r="LFD38" s="85"/>
      <c r="LFE38" s="85"/>
      <c r="LFF38" s="85"/>
      <c r="LFG38" s="85"/>
      <c r="LFH38" s="85"/>
      <c r="LFI38" s="85"/>
      <c r="LFJ38" s="85"/>
      <c r="LFK38" s="85"/>
      <c r="LFL38" s="85"/>
      <c r="LFM38" s="85"/>
      <c r="LFN38" s="85"/>
      <c r="LFO38" s="85"/>
      <c r="LFP38" s="85"/>
      <c r="LFQ38" s="85"/>
      <c r="LFR38" s="85"/>
      <c r="LFS38" s="85"/>
      <c r="LFT38" s="85"/>
      <c r="LFU38" s="85"/>
      <c r="LFV38" s="85"/>
      <c r="LFW38" s="85"/>
      <c r="LFX38" s="85"/>
      <c r="LFY38" s="85"/>
      <c r="LFZ38" s="85"/>
      <c r="LGA38" s="85"/>
      <c r="LGB38" s="85"/>
      <c r="LGC38" s="85"/>
      <c r="LGD38" s="85"/>
      <c r="LGE38" s="85"/>
      <c r="LGF38" s="85"/>
      <c r="LGG38" s="85"/>
      <c r="LGH38" s="85"/>
      <c r="LGI38" s="85"/>
      <c r="LGJ38" s="85"/>
      <c r="LGK38" s="85"/>
      <c r="LGL38" s="85"/>
      <c r="LGM38" s="85"/>
      <c r="LGN38" s="85"/>
      <c r="LGO38" s="85"/>
      <c r="LGP38" s="85"/>
      <c r="LGQ38" s="85"/>
      <c r="LGR38" s="85"/>
      <c r="LGS38" s="85"/>
      <c r="LGT38" s="85"/>
      <c r="LGU38" s="85"/>
      <c r="LGV38" s="85"/>
      <c r="LGW38" s="85"/>
      <c r="LGX38" s="85"/>
      <c r="LGY38" s="85"/>
      <c r="LGZ38" s="85"/>
      <c r="LHA38" s="85"/>
      <c r="LHB38" s="85"/>
      <c r="LHC38" s="85"/>
      <c r="LHD38" s="85"/>
      <c r="LHE38" s="85"/>
      <c r="LHF38" s="85"/>
      <c r="LHG38" s="85"/>
      <c r="LHH38" s="85"/>
      <c r="LHI38" s="85"/>
      <c r="LHJ38" s="85"/>
      <c r="LHK38" s="85"/>
      <c r="LHL38" s="85"/>
      <c r="LHM38" s="85"/>
      <c r="LHN38" s="85"/>
      <c r="LHO38" s="85"/>
      <c r="LHP38" s="85"/>
      <c r="LHQ38" s="85"/>
      <c r="LHR38" s="85"/>
      <c r="LHS38" s="85"/>
      <c r="LHT38" s="85"/>
      <c r="LHU38" s="85"/>
      <c r="LHV38" s="85"/>
      <c r="LHW38" s="85"/>
      <c r="LHX38" s="85"/>
      <c r="LHY38" s="85"/>
      <c r="LHZ38" s="85"/>
      <c r="LIA38" s="85"/>
      <c r="LIB38" s="85"/>
      <c r="LIC38" s="85"/>
      <c r="LID38" s="85"/>
      <c r="LIE38" s="85"/>
      <c r="LIF38" s="85"/>
      <c r="LIG38" s="85"/>
      <c r="LIH38" s="85"/>
      <c r="LII38" s="85"/>
      <c r="LIJ38" s="85"/>
      <c r="LIK38" s="85"/>
      <c r="LIL38" s="85"/>
      <c r="LIM38" s="85"/>
      <c r="LIN38" s="85"/>
      <c r="LIO38" s="85"/>
      <c r="LIP38" s="85"/>
      <c r="LIQ38" s="85"/>
      <c r="LIR38" s="85"/>
      <c r="LIS38" s="85"/>
      <c r="LIT38" s="85"/>
      <c r="LIU38" s="85"/>
      <c r="LIV38" s="85"/>
      <c r="LIW38" s="85"/>
      <c r="LIX38" s="85"/>
      <c r="LIY38" s="85"/>
      <c r="LIZ38" s="85"/>
      <c r="LJA38" s="85"/>
      <c r="LJB38" s="85"/>
      <c r="LJC38" s="85"/>
      <c r="LJD38" s="85"/>
      <c r="LJE38" s="85"/>
      <c r="LJF38" s="85"/>
      <c r="LJG38" s="85"/>
      <c r="LJH38" s="85"/>
      <c r="LJI38" s="85"/>
      <c r="LJJ38" s="85"/>
      <c r="LJK38" s="85"/>
      <c r="LJL38" s="85"/>
      <c r="LJM38" s="85"/>
      <c r="LJN38" s="85"/>
      <c r="LJO38" s="85"/>
      <c r="LJP38" s="85"/>
      <c r="LJQ38" s="85"/>
      <c r="LJR38" s="85"/>
      <c r="LJS38" s="85"/>
      <c r="LJT38" s="85"/>
      <c r="LJU38" s="85"/>
      <c r="LJV38" s="85"/>
      <c r="LJW38" s="85"/>
      <c r="LJX38" s="85"/>
      <c r="LJY38" s="85"/>
      <c r="LJZ38" s="85"/>
      <c r="LKA38" s="85"/>
      <c r="LKB38" s="85"/>
      <c r="LKC38" s="85"/>
      <c r="LKD38" s="85"/>
      <c r="LKE38" s="85"/>
      <c r="LKF38" s="85"/>
      <c r="LKG38" s="85"/>
      <c r="LKH38" s="85"/>
      <c r="LKI38" s="85"/>
      <c r="LKJ38" s="85"/>
      <c r="LKK38" s="85"/>
      <c r="LKL38" s="85"/>
      <c r="LKM38" s="85"/>
      <c r="LKN38" s="85"/>
      <c r="LKO38" s="85"/>
      <c r="LKP38" s="85"/>
      <c r="LKQ38" s="85"/>
      <c r="LKR38" s="85"/>
      <c r="LKS38" s="85"/>
      <c r="LKT38" s="85"/>
      <c r="LKU38" s="85"/>
      <c r="LKV38" s="85"/>
      <c r="LKW38" s="85"/>
      <c r="LKX38" s="85"/>
      <c r="LKY38" s="85"/>
      <c r="LKZ38" s="85"/>
      <c r="LLA38" s="85"/>
      <c r="LLB38" s="85"/>
      <c r="LLC38" s="85"/>
      <c r="LLD38" s="85"/>
      <c r="LLE38" s="85"/>
      <c r="LLF38" s="85"/>
      <c r="LLG38" s="85"/>
      <c r="LLH38" s="85"/>
      <c r="LLI38" s="85"/>
      <c r="LLJ38" s="85"/>
      <c r="LLK38" s="85"/>
      <c r="LLL38" s="85"/>
      <c r="LLM38" s="85"/>
      <c r="LLN38" s="85"/>
      <c r="LLO38" s="85"/>
      <c r="LLP38" s="85"/>
      <c r="LLQ38" s="85"/>
      <c r="LLR38" s="85"/>
      <c r="LLS38" s="85"/>
      <c r="LLT38" s="85"/>
      <c r="LLU38" s="85"/>
      <c r="LLV38" s="85"/>
      <c r="LLW38" s="85"/>
      <c r="LLX38" s="85"/>
      <c r="LLY38" s="85"/>
      <c r="LLZ38" s="85"/>
      <c r="LMA38" s="85"/>
      <c r="LMB38" s="85"/>
      <c r="LMC38" s="85"/>
      <c r="LMD38" s="85"/>
      <c r="LME38" s="85"/>
      <c r="LMF38" s="85"/>
      <c r="LMG38" s="85"/>
      <c r="LMH38" s="85"/>
      <c r="LMI38" s="85"/>
      <c r="LMJ38" s="85"/>
      <c r="LMK38" s="85"/>
      <c r="LML38" s="85"/>
      <c r="LMM38" s="85"/>
      <c r="LMN38" s="85"/>
      <c r="LMO38" s="85"/>
      <c r="LMP38" s="85"/>
      <c r="LMQ38" s="85"/>
      <c r="LMR38" s="85"/>
      <c r="LMS38" s="85"/>
      <c r="LMT38" s="85"/>
      <c r="LMU38" s="85"/>
      <c r="LMV38" s="85"/>
      <c r="LMW38" s="85"/>
      <c r="LMX38" s="85"/>
      <c r="LMY38" s="85"/>
      <c r="LMZ38" s="85"/>
      <c r="LNA38" s="85"/>
      <c r="LNB38" s="85"/>
      <c r="LNC38" s="85"/>
      <c r="LND38" s="85"/>
      <c r="LNE38" s="85"/>
      <c r="LNF38" s="85"/>
      <c r="LNG38" s="85"/>
      <c r="LNH38" s="85"/>
      <c r="LNI38" s="85"/>
      <c r="LNJ38" s="85"/>
      <c r="LNK38" s="85"/>
      <c r="LNL38" s="85"/>
      <c r="LNM38" s="85"/>
      <c r="LNN38" s="85"/>
      <c r="LNO38" s="85"/>
      <c r="LNP38" s="85"/>
      <c r="LNQ38" s="85"/>
      <c r="LNR38" s="85"/>
      <c r="LNS38" s="85"/>
      <c r="LNT38" s="85"/>
      <c r="LNU38" s="85"/>
      <c r="LNV38" s="85"/>
      <c r="LNW38" s="85"/>
      <c r="LNX38" s="85"/>
      <c r="LNY38" s="85"/>
      <c r="LNZ38" s="85"/>
      <c r="LOA38" s="85"/>
      <c r="LOB38" s="85"/>
      <c r="LOC38" s="85"/>
      <c r="LOD38" s="85"/>
      <c r="LOE38" s="85"/>
      <c r="LOF38" s="85"/>
      <c r="LOG38" s="85"/>
      <c r="LOH38" s="85"/>
      <c r="LOI38" s="85"/>
      <c r="LOJ38" s="85"/>
      <c r="LOK38" s="85"/>
      <c r="LOL38" s="85"/>
      <c r="LOM38" s="85"/>
      <c r="LON38" s="85"/>
      <c r="LOO38" s="85"/>
      <c r="LOP38" s="85"/>
      <c r="LOQ38" s="85"/>
      <c r="LOR38" s="85"/>
      <c r="LOS38" s="85"/>
      <c r="LOT38" s="85"/>
      <c r="LOU38" s="85"/>
      <c r="LOV38" s="85"/>
      <c r="LOW38" s="85"/>
      <c r="LOX38" s="85"/>
      <c r="LOY38" s="85"/>
      <c r="LOZ38" s="85"/>
      <c r="LPA38" s="85"/>
      <c r="LPB38" s="85"/>
      <c r="LPC38" s="85"/>
      <c r="LPD38" s="85"/>
      <c r="LPE38" s="85"/>
      <c r="LPF38" s="85"/>
      <c r="LPG38" s="85"/>
      <c r="LPH38" s="85"/>
      <c r="LPI38" s="85"/>
      <c r="LPJ38" s="85"/>
      <c r="LPK38" s="85"/>
      <c r="LPL38" s="85"/>
      <c r="LPM38" s="85"/>
      <c r="LPN38" s="85"/>
      <c r="LPO38" s="85"/>
      <c r="LPP38" s="85"/>
      <c r="LPQ38" s="85"/>
      <c r="LPR38" s="85"/>
      <c r="LPS38" s="85"/>
      <c r="LPT38" s="85"/>
      <c r="LPU38" s="85"/>
      <c r="LPV38" s="85"/>
      <c r="LPW38" s="85"/>
      <c r="LPX38" s="85"/>
      <c r="LPY38" s="85"/>
      <c r="LPZ38" s="85"/>
      <c r="LQA38" s="85"/>
      <c r="LQB38" s="85"/>
      <c r="LQC38" s="85"/>
      <c r="LQD38" s="85"/>
      <c r="LQE38" s="85"/>
      <c r="LQF38" s="85"/>
      <c r="LQG38" s="85"/>
      <c r="LQH38" s="85"/>
      <c r="LQI38" s="85"/>
      <c r="LQJ38" s="85"/>
      <c r="LQK38" s="85"/>
      <c r="LQL38" s="85"/>
      <c r="LQM38" s="85"/>
      <c r="LQN38" s="85"/>
      <c r="LQO38" s="85"/>
      <c r="LQP38" s="85"/>
      <c r="LQQ38" s="85"/>
      <c r="LQR38" s="85"/>
      <c r="LQS38" s="85"/>
      <c r="LQT38" s="85"/>
      <c r="LQU38" s="85"/>
      <c r="LQV38" s="85"/>
      <c r="LQW38" s="85"/>
      <c r="LQX38" s="85"/>
      <c r="LQY38" s="85"/>
      <c r="LQZ38" s="85"/>
      <c r="LRA38" s="85"/>
      <c r="LRB38" s="85"/>
      <c r="LRC38" s="85"/>
      <c r="LRD38" s="85"/>
      <c r="LRE38" s="85"/>
      <c r="LRF38" s="85"/>
      <c r="LRG38" s="85"/>
      <c r="LRH38" s="85"/>
      <c r="LRI38" s="85"/>
      <c r="LRJ38" s="85"/>
      <c r="LRK38" s="85"/>
      <c r="LRL38" s="85"/>
      <c r="LRM38" s="85"/>
      <c r="LRN38" s="85"/>
      <c r="LRO38" s="85"/>
      <c r="LRP38" s="85"/>
      <c r="LRQ38" s="85"/>
      <c r="LRR38" s="85"/>
      <c r="LRS38" s="85"/>
      <c r="LRT38" s="85"/>
      <c r="LRU38" s="85"/>
      <c r="LRV38" s="85"/>
      <c r="LRW38" s="85"/>
      <c r="LRX38" s="85"/>
      <c r="LRY38" s="85"/>
      <c r="LRZ38" s="85"/>
      <c r="LSA38" s="85"/>
      <c r="LSB38" s="85"/>
      <c r="LSC38" s="85"/>
      <c r="LSD38" s="85"/>
      <c r="LSE38" s="85"/>
      <c r="LSF38" s="85"/>
      <c r="LSG38" s="85"/>
      <c r="LSH38" s="85"/>
      <c r="LSI38" s="85"/>
      <c r="LSJ38" s="85"/>
      <c r="LSK38" s="85"/>
      <c r="LSL38" s="85"/>
      <c r="LSM38" s="85"/>
      <c r="LSN38" s="85"/>
      <c r="LSO38" s="85"/>
      <c r="LSP38" s="85"/>
      <c r="LSQ38" s="85"/>
      <c r="LSR38" s="85"/>
      <c r="LSS38" s="85"/>
      <c r="LST38" s="85"/>
      <c r="LSU38" s="85"/>
      <c r="LSV38" s="85"/>
      <c r="LSW38" s="85"/>
      <c r="LSX38" s="85"/>
      <c r="LSY38" s="85"/>
      <c r="LSZ38" s="85"/>
      <c r="LTA38" s="85"/>
      <c r="LTB38" s="85"/>
      <c r="LTC38" s="85"/>
      <c r="LTD38" s="85"/>
      <c r="LTE38" s="85"/>
      <c r="LTF38" s="85"/>
      <c r="LTG38" s="85"/>
      <c r="LTH38" s="85"/>
      <c r="LTI38" s="85"/>
      <c r="LTJ38" s="85"/>
      <c r="LTK38" s="85"/>
      <c r="LTL38" s="85"/>
      <c r="LTM38" s="85"/>
      <c r="LTN38" s="85"/>
      <c r="LTO38" s="85"/>
      <c r="LTP38" s="85"/>
      <c r="LTQ38" s="85"/>
      <c r="LTR38" s="85"/>
      <c r="LTS38" s="85"/>
      <c r="LTT38" s="85"/>
      <c r="LTU38" s="85"/>
      <c r="LTV38" s="85"/>
      <c r="LTW38" s="85"/>
      <c r="LTX38" s="85"/>
      <c r="LTY38" s="85"/>
      <c r="LTZ38" s="85"/>
      <c r="LUA38" s="85"/>
      <c r="LUB38" s="85"/>
      <c r="LUC38" s="85"/>
      <c r="LUD38" s="85"/>
      <c r="LUE38" s="85"/>
      <c r="LUF38" s="85"/>
      <c r="LUG38" s="85"/>
      <c r="LUH38" s="85"/>
      <c r="LUI38" s="85"/>
      <c r="LUJ38" s="85"/>
      <c r="LUK38" s="85"/>
      <c r="LUL38" s="85"/>
      <c r="LUM38" s="85"/>
      <c r="LUN38" s="85"/>
      <c r="LUO38" s="85"/>
      <c r="LUP38" s="85"/>
      <c r="LUQ38" s="85"/>
      <c r="LUR38" s="85"/>
      <c r="LUS38" s="85"/>
      <c r="LUT38" s="85"/>
      <c r="LUU38" s="85"/>
      <c r="LUV38" s="85"/>
      <c r="LUW38" s="85"/>
      <c r="LUX38" s="85"/>
      <c r="LUY38" s="85"/>
      <c r="LUZ38" s="85"/>
      <c r="LVA38" s="85"/>
      <c r="LVB38" s="85"/>
      <c r="LVC38" s="85"/>
      <c r="LVD38" s="85"/>
      <c r="LVE38" s="85"/>
      <c r="LVF38" s="85"/>
      <c r="LVG38" s="85"/>
      <c r="LVH38" s="85"/>
      <c r="LVI38" s="85"/>
      <c r="LVJ38" s="85"/>
      <c r="LVK38" s="85"/>
      <c r="LVL38" s="85"/>
      <c r="LVM38" s="85"/>
      <c r="LVN38" s="85"/>
      <c r="LVO38" s="85"/>
      <c r="LVP38" s="85"/>
      <c r="LVQ38" s="85"/>
      <c r="LVR38" s="85"/>
      <c r="LVS38" s="85"/>
      <c r="LVT38" s="85"/>
      <c r="LVU38" s="85"/>
      <c r="LVV38" s="85"/>
      <c r="LVW38" s="85"/>
      <c r="LVX38" s="85"/>
      <c r="LVY38" s="85"/>
      <c r="LVZ38" s="85"/>
      <c r="LWA38" s="85"/>
      <c r="LWB38" s="85"/>
      <c r="LWC38" s="85"/>
      <c r="LWD38" s="85"/>
      <c r="LWE38" s="85"/>
      <c r="LWF38" s="85"/>
      <c r="LWG38" s="85"/>
      <c r="LWH38" s="85"/>
      <c r="LWI38" s="85"/>
      <c r="LWJ38" s="85"/>
      <c r="LWK38" s="85"/>
      <c r="LWL38" s="85"/>
      <c r="LWM38" s="85"/>
      <c r="LWN38" s="85"/>
      <c r="LWO38" s="85"/>
      <c r="LWP38" s="85"/>
      <c r="LWQ38" s="85"/>
      <c r="LWR38" s="85"/>
      <c r="LWS38" s="85"/>
      <c r="LWT38" s="85"/>
      <c r="LWU38" s="85"/>
      <c r="LWV38" s="85"/>
      <c r="LWW38" s="85"/>
      <c r="LWX38" s="85"/>
      <c r="LWY38" s="85"/>
      <c r="LWZ38" s="85"/>
      <c r="LXA38" s="85"/>
      <c r="LXB38" s="85"/>
      <c r="LXC38" s="85"/>
      <c r="LXD38" s="85"/>
      <c r="LXE38" s="85"/>
      <c r="LXF38" s="85"/>
      <c r="LXG38" s="85"/>
      <c r="LXH38" s="85"/>
      <c r="LXI38" s="85"/>
      <c r="LXJ38" s="85"/>
      <c r="LXK38" s="85"/>
      <c r="LXL38" s="85"/>
      <c r="LXM38" s="85"/>
      <c r="LXN38" s="85"/>
      <c r="LXO38" s="85"/>
      <c r="LXP38" s="85"/>
      <c r="LXQ38" s="85"/>
      <c r="LXR38" s="85"/>
      <c r="LXS38" s="85"/>
      <c r="LXT38" s="85"/>
      <c r="LXU38" s="85"/>
      <c r="LXV38" s="85"/>
      <c r="LXW38" s="85"/>
      <c r="LXX38" s="85"/>
      <c r="LXY38" s="85"/>
      <c r="LXZ38" s="85"/>
      <c r="LYA38" s="85"/>
      <c r="LYB38" s="85"/>
      <c r="LYC38" s="85"/>
      <c r="LYD38" s="85"/>
      <c r="LYE38" s="85"/>
      <c r="LYF38" s="85"/>
      <c r="LYG38" s="85"/>
      <c r="LYH38" s="85"/>
      <c r="LYI38" s="85"/>
      <c r="LYJ38" s="85"/>
      <c r="LYK38" s="85"/>
      <c r="LYL38" s="85"/>
      <c r="LYM38" s="85"/>
      <c r="LYN38" s="85"/>
      <c r="LYO38" s="85"/>
      <c r="LYP38" s="85"/>
      <c r="LYQ38" s="85"/>
      <c r="LYR38" s="85"/>
      <c r="LYS38" s="85"/>
      <c r="LYT38" s="85"/>
      <c r="LYU38" s="85"/>
      <c r="LYV38" s="85"/>
      <c r="LYW38" s="85"/>
      <c r="LYX38" s="85"/>
      <c r="LYY38" s="85"/>
      <c r="LYZ38" s="85"/>
      <c r="LZA38" s="85"/>
      <c r="LZB38" s="85"/>
      <c r="LZC38" s="85"/>
      <c r="LZD38" s="85"/>
      <c r="LZE38" s="85"/>
      <c r="LZF38" s="85"/>
      <c r="LZG38" s="85"/>
      <c r="LZH38" s="85"/>
      <c r="LZI38" s="85"/>
      <c r="LZJ38" s="85"/>
      <c r="LZK38" s="85"/>
      <c r="LZL38" s="85"/>
      <c r="LZM38" s="85"/>
      <c r="LZN38" s="85"/>
      <c r="LZO38" s="85"/>
      <c r="LZP38" s="85"/>
      <c r="LZQ38" s="85"/>
      <c r="LZR38" s="85"/>
      <c r="LZS38" s="85"/>
      <c r="LZT38" s="85"/>
      <c r="LZU38" s="85"/>
      <c r="LZV38" s="85"/>
      <c r="LZW38" s="85"/>
      <c r="LZX38" s="85"/>
      <c r="LZY38" s="85"/>
      <c r="LZZ38" s="85"/>
      <c r="MAA38" s="85"/>
      <c r="MAB38" s="85"/>
      <c r="MAC38" s="85"/>
      <c r="MAD38" s="85"/>
      <c r="MAE38" s="85"/>
      <c r="MAF38" s="85"/>
      <c r="MAG38" s="85"/>
      <c r="MAH38" s="85"/>
      <c r="MAI38" s="85"/>
      <c r="MAJ38" s="85"/>
      <c r="MAK38" s="85"/>
      <c r="MAL38" s="85"/>
      <c r="MAM38" s="85"/>
      <c r="MAN38" s="85"/>
      <c r="MAO38" s="85"/>
      <c r="MAP38" s="85"/>
      <c r="MAQ38" s="85"/>
      <c r="MAR38" s="85"/>
      <c r="MAS38" s="85"/>
      <c r="MAT38" s="85"/>
      <c r="MAU38" s="85"/>
      <c r="MAV38" s="85"/>
      <c r="MAW38" s="85"/>
      <c r="MAX38" s="85"/>
      <c r="MAY38" s="85"/>
      <c r="MAZ38" s="85"/>
      <c r="MBA38" s="85"/>
      <c r="MBB38" s="85"/>
      <c r="MBC38" s="85"/>
      <c r="MBD38" s="85"/>
      <c r="MBE38" s="85"/>
      <c r="MBF38" s="85"/>
      <c r="MBG38" s="85"/>
      <c r="MBH38" s="85"/>
      <c r="MBI38" s="85"/>
      <c r="MBJ38" s="85"/>
      <c r="MBK38" s="85"/>
      <c r="MBL38" s="85"/>
      <c r="MBM38" s="85"/>
      <c r="MBN38" s="85"/>
      <c r="MBO38" s="85"/>
      <c r="MBP38" s="85"/>
      <c r="MBQ38" s="85"/>
      <c r="MBR38" s="85"/>
      <c r="MBS38" s="85"/>
      <c r="MBT38" s="85"/>
      <c r="MBU38" s="85"/>
      <c r="MBV38" s="85"/>
      <c r="MBW38" s="85"/>
      <c r="MBX38" s="85"/>
      <c r="MBY38" s="85"/>
      <c r="MBZ38" s="85"/>
      <c r="MCA38" s="85"/>
      <c r="MCB38" s="85"/>
      <c r="MCC38" s="85"/>
      <c r="MCD38" s="85"/>
      <c r="MCE38" s="85"/>
      <c r="MCF38" s="85"/>
      <c r="MCG38" s="85"/>
      <c r="MCH38" s="85"/>
      <c r="MCI38" s="85"/>
      <c r="MCJ38" s="85"/>
      <c r="MCK38" s="85"/>
      <c r="MCL38" s="85"/>
      <c r="MCM38" s="85"/>
      <c r="MCN38" s="85"/>
      <c r="MCO38" s="85"/>
      <c r="MCP38" s="85"/>
      <c r="MCQ38" s="85"/>
      <c r="MCR38" s="85"/>
      <c r="MCS38" s="85"/>
      <c r="MCT38" s="85"/>
      <c r="MCU38" s="85"/>
      <c r="MCV38" s="85"/>
      <c r="MCW38" s="85"/>
      <c r="MCX38" s="85"/>
      <c r="MCY38" s="85"/>
      <c r="MCZ38" s="85"/>
      <c r="MDA38" s="85"/>
      <c r="MDB38" s="85"/>
      <c r="MDC38" s="85"/>
      <c r="MDD38" s="85"/>
      <c r="MDE38" s="85"/>
      <c r="MDF38" s="85"/>
      <c r="MDG38" s="85"/>
      <c r="MDH38" s="85"/>
      <c r="MDI38" s="85"/>
      <c r="MDJ38" s="85"/>
      <c r="MDK38" s="85"/>
      <c r="MDL38" s="85"/>
      <c r="MDM38" s="85"/>
      <c r="MDN38" s="85"/>
      <c r="MDO38" s="85"/>
      <c r="MDP38" s="85"/>
      <c r="MDQ38" s="85"/>
      <c r="MDR38" s="85"/>
      <c r="MDS38" s="85"/>
      <c r="MDT38" s="85"/>
      <c r="MDU38" s="85"/>
      <c r="MDV38" s="85"/>
      <c r="MDW38" s="85"/>
      <c r="MDX38" s="85"/>
      <c r="MDY38" s="85"/>
      <c r="MDZ38" s="85"/>
      <c r="MEA38" s="85"/>
      <c r="MEB38" s="85"/>
      <c r="MEC38" s="85"/>
      <c r="MED38" s="85"/>
      <c r="MEE38" s="85"/>
      <c r="MEF38" s="85"/>
      <c r="MEG38" s="85"/>
      <c r="MEH38" s="85"/>
      <c r="MEI38" s="85"/>
      <c r="MEJ38" s="85"/>
      <c r="MEK38" s="85"/>
      <c r="MEL38" s="85"/>
      <c r="MEM38" s="85"/>
      <c r="MEN38" s="85"/>
      <c r="MEO38" s="85"/>
      <c r="MEP38" s="85"/>
      <c r="MEQ38" s="85"/>
      <c r="MER38" s="85"/>
      <c r="MES38" s="85"/>
      <c r="MET38" s="85"/>
      <c r="MEU38" s="85"/>
      <c r="MEV38" s="85"/>
      <c r="MEW38" s="85"/>
      <c r="MEX38" s="85"/>
      <c r="MEY38" s="85"/>
      <c r="MEZ38" s="85"/>
      <c r="MFA38" s="85"/>
      <c r="MFB38" s="85"/>
      <c r="MFC38" s="85"/>
      <c r="MFD38" s="85"/>
      <c r="MFE38" s="85"/>
      <c r="MFF38" s="85"/>
      <c r="MFG38" s="85"/>
      <c r="MFH38" s="85"/>
      <c r="MFI38" s="85"/>
      <c r="MFJ38" s="85"/>
      <c r="MFK38" s="85"/>
      <c r="MFL38" s="85"/>
      <c r="MFM38" s="85"/>
      <c r="MFN38" s="85"/>
      <c r="MFO38" s="85"/>
      <c r="MFP38" s="85"/>
      <c r="MFQ38" s="85"/>
      <c r="MFR38" s="85"/>
      <c r="MFS38" s="85"/>
      <c r="MFT38" s="85"/>
      <c r="MFU38" s="85"/>
      <c r="MFV38" s="85"/>
      <c r="MFW38" s="85"/>
      <c r="MFX38" s="85"/>
      <c r="MFY38" s="85"/>
      <c r="MFZ38" s="85"/>
      <c r="MGA38" s="85"/>
      <c r="MGB38" s="85"/>
      <c r="MGC38" s="85"/>
      <c r="MGD38" s="85"/>
      <c r="MGE38" s="85"/>
      <c r="MGF38" s="85"/>
      <c r="MGG38" s="85"/>
      <c r="MGH38" s="85"/>
      <c r="MGI38" s="85"/>
      <c r="MGJ38" s="85"/>
      <c r="MGK38" s="85"/>
      <c r="MGL38" s="85"/>
      <c r="MGM38" s="85"/>
      <c r="MGN38" s="85"/>
      <c r="MGO38" s="85"/>
      <c r="MGP38" s="85"/>
      <c r="MGQ38" s="85"/>
      <c r="MGR38" s="85"/>
      <c r="MGS38" s="85"/>
      <c r="MGT38" s="85"/>
      <c r="MGU38" s="85"/>
      <c r="MGV38" s="85"/>
      <c r="MGW38" s="85"/>
      <c r="MGX38" s="85"/>
      <c r="MGY38" s="85"/>
      <c r="MGZ38" s="85"/>
      <c r="MHA38" s="85"/>
      <c r="MHB38" s="85"/>
      <c r="MHC38" s="85"/>
      <c r="MHD38" s="85"/>
      <c r="MHE38" s="85"/>
      <c r="MHF38" s="85"/>
      <c r="MHG38" s="85"/>
      <c r="MHH38" s="85"/>
      <c r="MHI38" s="85"/>
      <c r="MHJ38" s="85"/>
      <c r="MHK38" s="85"/>
      <c r="MHL38" s="85"/>
      <c r="MHM38" s="85"/>
      <c r="MHN38" s="85"/>
      <c r="MHO38" s="85"/>
      <c r="MHP38" s="85"/>
      <c r="MHQ38" s="85"/>
      <c r="MHR38" s="85"/>
      <c r="MHS38" s="85"/>
      <c r="MHT38" s="85"/>
      <c r="MHU38" s="85"/>
      <c r="MHV38" s="85"/>
      <c r="MHW38" s="85"/>
      <c r="MHX38" s="85"/>
      <c r="MHY38" s="85"/>
      <c r="MHZ38" s="85"/>
      <c r="MIA38" s="85"/>
      <c r="MIB38" s="85"/>
      <c r="MIC38" s="85"/>
      <c r="MID38" s="85"/>
      <c r="MIE38" s="85"/>
      <c r="MIF38" s="85"/>
      <c r="MIG38" s="85"/>
      <c r="MIH38" s="85"/>
      <c r="MII38" s="85"/>
      <c r="MIJ38" s="85"/>
      <c r="MIK38" s="85"/>
      <c r="MIL38" s="85"/>
      <c r="MIM38" s="85"/>
      <c r="MIN38" s="85"/>
      <c r="MIO38" s="85"/>
      <c r="MIP38" s="85"/>
      <c r="MIQ38" s="85"/>
      <c r="MIR38" s="85"/>
      <c r="MIS38" s="85"/>
      <c r="MIT38" s="85"/>
      <c r="MIU38" s="85"/>
      <c r="MIV38" s="85"/>
      <c r="MIW38" s="85"/>
      <c r="MIX38" s="85"/>
      <c r="MIY38" s="85"/>
      <c r="MIZ38" s="85"/>
      <c r="MJA38" s="85"/>
      <c r="MJB38" s="85"/>
      <c r="MJC38" s="85"/>
      <c r="MJD38" s="85"/>
      <c r="MJE38" s="85"/>
      <c r="MJF38" s="85"/>
      <c r="MJG38" s="85"/>
      <c r="MJH38" s="85"/>
      <c r="MJI38" s="85"/>
      <c r="MJJ38" s="85"/>
      <c r="MJK38" s="85"/>
      <c r="MJL38" s="85"/>
      <c r="MJM38" s="85"/>
      <c r="MJN38" s="85"/>
      <c r="MJO38" s="85"/>
      <c r="MJP38" s="85"/>
      <c r="MJQ38" s="85"/>
      <c r="MJR38" s="85"/>
      <c r="MJS38" s="85"/>
      <c r="MJT38" s="85"/>
      <c r="MJU38" s="85"/>
      <c r="MJV38" s="85"/>
      <c r="MJW38" s="85"/>
      <c r="MJX38" s="85"/>
      <c r="MJY38" s="85"/>
      <c r="MJZ38" s="85"/>
      <c r="MKA38" s="85"/>
      <c r="MKB38" s="85"/>
      <c r="MKC38" s="85"/>
      <c r="MKD38" s="85"/>
      <c r="MKE38" s="85"/>
      <c r="MKF38" s="85"/>
      <c r="MKG38" s="85"/>
      <c r="MKH38" s="85"/>
      <c r="MKI38" s="85"/>
      <c r="MKJ38" s="85"/>
      <c r="MKK38" s="85"/>
      <c r="MKL38" s="85"/>
      <c r="MKM38" s="85"/>
      <c r="MKN38" s="85"/>
      <c r="MKO38" s="85"/>
      <c r="MKP38" s="85"/>
      <c r="MKQ38" s="85"/>
      <c r="MKR38" s="85"/>
      <c r="MKS38" s="85"/>
      <c r="MKT38" s="85"/>
      <c r="MKU38" s="85"/>
      <c r="MKV38" s="85"/>
      <c r="MKW38" s="85"/>
      <c r="MKX38" s="85"/>
      <c r="MKY38" s="85"/>
      <c r="MKZ38" s="85"/>
      <c r="MLA38" s="85"/>
      <c r="MLB38" s="85"/>
      <c r="MLC38" s="85"/>
      <c r="MLD38" s="85"/>
      <c r="MLE38" s="85"/>
      <c r="MLF38" s="85"/>
      <c r="MLG38" s="85"/>
      <c r="MLH38" s="85"/>
      <c r="MLI38" s="85"/>
      <c r="MLJ38" s="85"/>
      <c r="MLK38" s="85"/>
      <c r="MLL38" s="85"/>
      <c r="MLM38" s="85"/>
      <c r="MLN38" s="85"/>
      <c r="MLO38" s="85"/>
      <c r="MLP38" s="85"/>
      <c r="MLQ38" s="85"/>
      <c r="MLR38" s="85"/>
      <c r="MLS38" s="85"/>
      <c r="MLT38" s="85"/>
      <c r="MLU38" s="85"/>
      <c r="MLV38" s="85"/>
      <c r="MLW38" s="85"/>
      <c r="MLX38" s="85"/>
      <c r="MLY38" s="85"/>
      <c r="MLZ38" s="85"/>
      <c r="MMA38" s="85"/>
      <c r="MMB38" s="85"/>
      <c r="MMC38" s="85"/>
      <c r="MMD38" s="85"/>
      <c r="MME38" s="85"/>
      <c r="MMF38" s="85"/>
      <c r="MMG38" s="85"/>
      <c r="MMH38" s="85"/>
      <c r="MMI38" s="85"/>
      <c r="MMJ38" s="85"/>
      <c r="MMK38" s="85"/>
      <c r="MML38" s="85"/>
      <c r="MMM38" s="85"/>
      <c r="MMN38" s="85"/>
      <c r="MMO38" s="85"/>
      <c r="MMP38" s="85"/>
      <c r="MMQ38" s="85"/>
      <c r="MMR38" s="85"/>
      <c r="MMS38" s="85"/>
      <c r="MMT38" s="85"/>
      <c r="MMU38" s="85"/>
      <c r="MMV38" s="85"/>
      <c r="MMW38" s="85"/>
      <c r="MMX38" s="85"/>
      <c r="MMY38" s="85"/>
      <c r="MMZ38" s="85"/>
      <c r="MNA38" s="85"/>
      <c r="MNB38" s="85"/>
      <c r="MNC38" s="85"/>
      <c r="MND38" s="85"/>
      <c r="MNE38" s="85"/>
      <c r="MNF38" s="85"/>
      <c r="MNG38" s="85"/>
      <c r="MNH38" s="85"/>
      <c r="MNI38" s="85"/>
      <c r="MNJ38" s="85"/>
      <c r="MNK38" s="85"/>
      <c r="MNL38" s="85"/>
      <c r="MNM38" s="85"/>
      <c r="MNN38" s="85"/>
      <c r="MNO38" s="85"/>
      <c r="MNP38" s="85"/>
      <c r="MNQ38" s="85"/>
      <c r="MNR38" s="85"/>
      <c r="MNS38" s="85"/>
      <c r="MNT38" s="85"/>
      <c r="MNU38" s="85"/>
      <c r="MNV38" s="85"/>
      <c r="MNW38" s="85"/>
      <c r="MNX38" s="85"/>
      <c r="MNY38" s="85"/>
      <c r="MNZ38" s="85"/>
      <c r="MOA38" s="85"/>
      <c r="MOB38" s="85"/>
      <c r="MOC38" s="85"/>
      <c r="MOD38" s="85"/>
      <c r="MOE38" s="85"/>
      <c r="MOF38" s="85"/>
      <c r="MOG38" s="85"/>
      <c r="MOH38" s="85"/>
      <c r="MOI38" s="85"/>
      <c r="MOJ38" s="85"/>
      <c r="MOK38" s="85"/>
      <c r="MOL38" s="85"/>
      <c r="MOM38" s="85"/>
      <c r="MON38" s="85"/>
      <c r="MOO38" s="85"/>
      <c r="MOP38" s="85"/>
      <c r="MOQ38" s="85"/>
      <c r="MOR38" s="85"/>
      <c r="MOS38" s="85"/>
      <c r="MOT38" s="85"/>
      <c r="MOU38" s="85"/>
      <c r="MOV38" s="85"/>
      <c r="MOW38" s="85"/>
      <c r="MOX38" s="85"/>
      <c r="MOY38" s="85"/>
      <c r="MOZ38" s="85"/>
      <c r="MPA38" s="85"/>
      <c r="MPB38" s="85"/>
      <c r="MPC38" s="85"/>
      <c r="MPD38" s="85"/>
      <c r="MPE38" s="85"/>
      <c r="MPF38" s="85"/>
      <c r="MPG38" s="85"/>
      <c r="MPH38" s="85"/>
      <c r="MPI38" s="85"/>
      <c r="MPJ38" s="85"/>
      <c r="MPK38" s="85"/>
      <c r="MPL38" s="85"/>
      <c r="MPM38" s="85"/>
      <c r="MPN38" s="85"/>
      <c r="MPO38" s="85"/>
      <c r="MPP38" s="85"/>
      <c r="MPQ38" s="85"/>
      <c r="MPR38" s="85"/>
      <c r="MPS38" s="85"/>
      <c r="MPT38" s="85"/>
      <c r="MPU38" s="85"/>
      <c r="MPV38" s="85"/>
      <c r="MPW38" s="85"/>
      <c r="MPX38" s="85"/>
      <c r="MPY38" s="85"/>
      <c r="MPZ38" s="85"/>
      <c r="MQA38" s="85"/>
      <c r="MQB38" s="85"/>
      <c r="MQC38" s="85"/>
      <c r="MQD38" s="85"/>
      <c r="MQE38" s="85"/>
      <c r="MQF38" s="85"/>
      <c r="MQG38" s="85"/>
      <c r="MQH38" s="85"/>
      <c r="MQI38" s="85"/>
      <c r="MQJ38" s="85"/>
      <c r="MQK38" s="85"/>
      <c r="MQL38" s="85"/>
      <c r="MQM38" s="85"/>
      <c r="MQN38" s="85"/>
      <c r="MQO38" s="85"/>
      <c r="MQP38" s="85"/>
      <c r="MQQ38" s="85"/>
      <c r="MQR38" s="85"/>
      <c r="MQS38" s="85"/>
      <c r="MQT38" s="85"/>
      <c r="MQU38" s="85"/>
      <c r="MQV38" s="85"/>
      <c r="MQW38" s="85"/>
      <c r="MQX38" s="85"/>
      <c r="MQY38" s="85"/>
      <c r="MQZ38" s="85"/>
      <c r="MRA38" s="85"/>
      <c r="MRB38" s="85"/>
      <c r="MRC38" s="85"/>
      <c r="MRD38" s="85"/>
      <c r="MRE38" s="85"/>
      <c r="MRF38" s="85"/>
      <c r="MRG38" s="85"/>
      <c r="MRH38" s="85"/>
      <c r="MRI38" s="85"/>
      <c r="MRJ38" s="85"/>
      <c r="MRK38" s="85"/>
      <c r="MRL38" s="85"/>
      <c r="MRM38" s="85"/>
      <c r="MRN38" s="85"/>
      <c r="MRO38" s="85"/>
      <c r="MRP38" s="85"/>
      <c r="MRQ38" s="85"/>
      <c r="MRR38" s="85"/>
      <c r="MRS38" s="85"/>
      <c r="MRT38" s="85"/>
      <c r="MRU38" s="85"/>
      <c r="MRV38" s="85"/>
      <c r="MRW38" s="85"/>
      <c r="MRX38" s="85"/>
      <c r="MRY38" s="85"/>
      <c r="MRZ38" s="85"/>
      <c r="MSA38" s="85"/>
      <c r="MSB38" s="85"/>
      <c r="MSC38" s="85"/>
      <c r="MSD38" s="85"/>
      <c r="MSE38" s="85"/>
      <c r="MSF38" s="85"/>
      <c r="MSG38" s="85"/>
      <c r="MSH38" s="85"/>
      <c r="MSI38" s="85"/>
      <c r="MSJ38" s="85"/>
      <c r="MSK38" s="85"/>
      <c r="MSL38" s="85"/>
      <c r="MSM38" s="85"/>
      <c r="MSN38" s="85"/>
      <c r="MSO38" s="85"/>
      <c r="MSP38" s="85"/>
      <c r="MSQ38" s="85"/>
      <c r="MSR38" s="85"/>
      <c r="MSS38" s="85"/>
      <c r="MST38" s="85"/>
      <c r="MSU38" s="85"/>
      <c r="MSV38" s="85"/>
      <c r="MSW38" s="85"/>
      <c r="MSX38" s="85"/>
      <c r="MSY38" s="85"/>
      <c r="MSZ38" s="85"/>
      <c r="MTA38" s="85"/>
      <c r="MTB38" s="85"/>
      <c r="MTC38" s="85"/>
      <c r="MTD38" s="85"/>
      <c r="MTE38" s="85"/>
      <c r="MTF38" s="85"/>
      <c r="MTG38" s="85"/>
      <c r="MTH38" s="85"/>
      <c r="MTI38" s="85"/>
      <c r="MTJ38" s="85"/>
      <c r="MTK38" s="85"/>
      <c r="MTL38" s="85"/>
      <c r="MTM38" s="85"/>
      <c r="MTN38" s="85"/>
      <c r="MTO38" s="85"/>
      <c r="MTP38" s="85"/>
      <c r="MTQ38" s="85"/>
      <c r="MTR38" s="85"/>
      <c r="MTS38" s="85"/>
      <c r="MTT38" s="85"/>
      <c r="MTU38" s="85"/>
      <c r="MTV38" s="85"/>
      <c r="MTW38" s="85"/>
      <c r="MTX38" s="85"/>
      <c r="MTY38" s="85"/>
      <c r="MTZ38" s="85"/>
      <c r="MUA38" s="85"/>
      <c r="MUB38" s="85"/>
      <c r="MUC38" s="85"/>
      <c r="MUD38" s="85"/>
      <c r="MUE38" s="85"/>
      <c r="MUF38" s="85"/>
      <c r="MUG38" s="85"/>
      <c r="MUH38" s="85"/>
      <c r="MUI38" s="85"/>
      <c r="MUJ38" s="85"/>
      <c r="MUK38" s="85"/>
      <c r="MUL38" s="85"/>
      <c r="MUM38" s="85"/>
      <c r="MUN38" s="85"/>
      <c r="MUO38" s="85"/>
      <c r="MUP38" s="85"/>
      <c r="MUQ38" s="85"/>
      <c r="MUR38" s="85"/>
      <c r="MUS38" s="85"/>
      <c r="MUT38" s="85"/>
      <c r="MUU38" s="85"/>
      <c r="MUV38" s="85"/>
      <c r="MUW38" s="85"/>
      <c r="MUX38" s="85"/>
      <c r="MUY38" s="85"/>
      <c r="MUZ38" s="85"/>
      <c r="MVA38" s="85"/>
      <c r="MVB38" s="85"/>
      <c r="MVC38" s="85"/>
      <c r="MVD38" s="85"/>
      <c r="MVE38" s="85"/>
      <c r="MVF38" s="85"/>
      <c r="MVG38" s="85"/>
      <c r="MVH38" s="85"/>
      <c r="MVI38" s="85"/>
      <c r="MVJ38" s="85"/>
      <c r="MVK38" s="85"/>
      <c r="MVL38" s="85"/>
      <c r="MVM38" s="85"/>
      <c r="MVN38" s="85"/>
      <c r="MVO38" s="85"/>
      <c r="MVP38" s="85"/>
      <c r="MVQ38" s="85"/>
      <c r="MVR38" s="85"/>
      <c r="MVS38" s="85"/>
      <c r="MVT38" s="85"/>
      <c r="MVU38" s="85"/>
      <c r="MVV38" s="85"/>
      <c r="MVW38" s="85"/>
      <c r="MVX38" s="85"/>
      <c r="MVY38" s="85"/>
      <c r="MVZ38" s="85"/>
      <c r="MWA38" s="85"/>
      <c r="MWB38" s="85"/>
      <c r="MWC38" s="85"/>
      <c r="MWD38" s="85"/>
      <c r="MWE38" s="85"/>
      <c r="MWF38" s="85"/>
      <c r="MWG38" s="85"/>
      <c r="MWH38" s="85"/>
      <c r="MWI38" s="85"/>
      <c r="MWJ38" s="85"/>
      <c r="MWK38" s="85"/>
      <c r="MWL38" s="85"/>
      <c r="MWM38" s="85"/>
      <c r="MWN38" s="85"/>
      <c r="MWO38" s="85"/>
      <c r="MWP38" s="85"/>
      <c r="MWQ38" s="85"/>
      <c r="MWR38" s="85"/>
      <c r="MWS38" s="85"/>
      <c r="MWT38" s="85"/>
      <c r="MWU38" s="85"/>
      <c r="MWV38" s="85"/>
      <c r="MWW38" s="85"/>
      <c r="MWX38" s="85"/>
      <c r="MWY38" s="85"/>
      <c r="MWZ38" s="85"/>
      <c r="MXA38" s="85"/>
      <c r="MXB38" s="85"/>
      <c r="MXC38" s="85"/>
      <c r="MXD38" s="85"/>
      <c r="MXE38" s="85"/>
      <c r="MXF38" s="85"/>
      <c r="MXG38" s="85"/>
      <c r="MXH38" s="85"/>
      <c r="MXI38" s="85"/>
      <c r="MXJ38" s="85"/>
      <c r="MXK38" s="85"/>
      <c r="MXL38" s="85"/>
      <c r="MXM38" s="85"/>
      <c r="MXN38" s="85"/>
      <c r="MXO38" s="85"/>
      <c r="MXP38" s="85"/>
      <c r="MXQ38" s="85"/>
      <c r="MXR38" s="85"/>
      <c r="MXS38" s="85"/>
      <c r="MXT38" s="85"/>
      <c r="MXU38" s="85"/>
      <c r="MXV38" s="85"/>
      <c r="MXW38" s="85"/>
      <c r="MXX38" s="85"/>
      <c r="MXY38" s="85"/>
      <c r="MXZ38" s="85"/>
      <c r="MYA38" s="85"/>
      <c r="MYB38" s="85"/>
      <c r="MYC38" s="85"/>
      <c r="MYD38" s="85"/>
      <c r="MYE38" s="85"/>
      <c r="MYF38" s="85"/>
      <c r="MYG38" s="85"/>
      <c r="MYH38" s="85"/>
      <c r="MYI38" s="85"/>
      <c r="MYJ38" s="85"/>
      <c r="MYK38" s="85"/>
      <c r="MYL38" s="85"/>
      <c r="MYM38" s="85"/>
      <c r="MYN38" s="85"/>
      <c r="MYO38" s="85"/>
      <c r="MYP38" s="85"/>
      <c r="MYQ38" s="85"/>
      <c r="MYR38" s="85"/>
      <c r="MYS38" s="85"/>
      <c r="MYT38" s="85"/>
      <c r="MYU38" s="85"/>
      <c r="MYV38" s="85"/>
      <c r="MYW38" s="85"/>
      <c r="MYX38" s="85"/>
      <c r="MYY38" s="85"/>
      <c r="MYZ38" s="85"/>
      <c r="MZA38" s="85"/>
      <c r="MZB38" s="85"/>
      <c r="MZC38" s="85"/>
      <c r="MZD38" s="85"/>
      <c r="MZE38" s="85"/>
      <c r="MZF38" s="85"/>
      <c r="MZG38" s="85"/>
      <c r="MZH38" s="85"/>
      <c r="MZI38" s="85"/>
      <c r="MZJ38" s="85"/>
      <c r="MZK38" s="85"/>
      <c r="MZL38" s="85"/>
      <c r="MZM38" s="85"/>
      <c r="MZN38" s="85"/>
      <c r="MZO38" s="85"/>
      <c r="MZP38" s="85"/>
      <c r="MZQ38" s="85"/>
      <c r="MZR38" s="85"/>
      <c r="MZS38" s="85"/>
      <c r="MZT38" s="85"/>
      <c r="MZU38" s="85"/>
      <c r="MZV38" s="85"/>
      <c r="MZW38" s="85"/>
      <c r="MZX38" s="85"/>
      <c r="MZY38" s="85"/>
      <c r="MZZ38" s="85"/>
      <c r="NAA38" s="85"/>
      <c r="NAB38" s="85"/>
      <c r="NAC38" s="85"/>
      <c r="NAD38" s="85"/>
      <c r="NAE38" s="85"/>
      <c r="NAF38" s="85"/>
      <c r="NAG38" s="85"/>
      <c r="NAH38" s="85"/>
      <c r="NAI38" s="85"/>
      <c r="NAJ38" s="85"/>
      <c r="NAK38" s="85"/>
      <c r="NAL38" s="85"/>
      <c r="NAM38" s="85"/>
      <c r="NAN38" s="85"/>
      <c r="NAO38" s="85"/>
      <c r="NAP38" s="85"/>
      <c r="NAQ38" s="85"/>
      <c r="NAR38" s="85"/>
      <c r="NAS38" s="85"/>
      <c r="NAT38" s="85"/>
      <c r="NAU38" s="85"/>
      <c r="NAV38" s="85"/>
      <c r="NAW38" s="85"/>
      <c r="NAX38" s="85"/>
      <c r="NAY38" s="85"/>
      <c r="NAZ38" s="85"/>
      <c r="NBA38" s="85"/>
      <c r="NBB38" s="85"/>
      <c r="NBC38" s="85"/>
      <c r="NBD38" s="85"/>
      <c r="NBE38" s="85"/>
      <c r="NBF38" s="85"/>
      <c r="NBG38" s="85"/>
      <c r="NBH38" s="85"/>
      <c r="NBI38" s="85"/>
      <c r="NBJ38" s="85"/>
      <c r="NBK38" s="85"/>
      <c r="NBL38" s="85"/>
      <c r="NBM38" s="85"/>
      <c r="NBN38" s="85"/>
      <c r="NBO38" s="85"/>
      <c r="NBP38" s="85"/>
      <c r="NBQ38" s="85"/>
      <c r="NBR38" s="85"/>
      <c r="NBS38" s="85"/>
      <c r="NBT38" s="85"/>
      <c r="NBU38" s="85"/>
      <c r="NBV38" s="85"/>
      <c r="NBW38" s="85"/>
      <c r="NBX38" s="85"/>
      <c r="NBY38" s="85"/>
      <c r="NBZ38" s="85"/>
      <c r="NCA38" s="85"/>
      <c r="NCB38" s="85"/>
      <c r="NCC38" s="85"/>
      <c r="NCD38" s="85"/>
      <c r="NCE38" s="85"/>
      <c r="NCF38" s="85"/>
      <c r="NCG38" s="85"/>
      <c r="NCH38" s="85"/>
      <c r="NCI38" s="85"/>
      <c r="NCJ38" s="85"/>
      <c r="NCK38" s="85"/>
      <c r="NCL38" s="85"/>
      <c r="NCM38" s="85"/>
      <c r="NCN38" s="85"/>
      <c r="NCO38" s="85"/>
      <c r="NCP38" s="85"/>
      <c r="NCQ38" s="85"/>
      <c r="NCR38" s="85"/>
      <c r="NCS38" s="85"/>
      <c r="NCT38" s="85"/>
      <c r="NCU38" s="85"/>
      <c r="NCV38" s="85"/>
      <c r="NCW38" s="85"/>
      <c r="NCX38" s="85"/>
      <c r="NCY38" s="85"/>
      <c r="NCZ38" s="85"/>
      <c r="NDA38" s="85"/>
      <c r="NDB38" s="85"/>
      <c r="NDC38" s="85"/>
      <c r="NDD38" s="85"/>
      <c r="NDE38" s="85"/>
      <c r="NDF38" s="85"/>
      <c r="NDG38" s="85"/>
      <c r="NDH38" s="85"/>
      <c r="NDI38" s="85"/>
      <c r="NDJ38" s="85"/>
      <c r="NDK38" s="85"/>
      <c r="NDL38" s="85"/>
      <c r="NDM38" s="85"/>
      <c r="NDN38" s="85"/>
      <c r="NDO38" s="85"/>
      <c r="NDP38" s="85"/>
      <c r="NDQ38" s="85"/>
      <c r="NDR38" s="85"/>
      <c r="NDS38" s="85"/>
      <c r="NDT38" s="85"/>
      <c r="NDU38" s="85"/>
      <c r="NDV38" s="85"/>
      <c r="NDW38" s="85"/>
      <c r="NDX38" s="85"/>
      <c r="NDY38" s="85"/>
      <c r="NDZ38" s="85"/>
      <c r="NEA38" s="85"/>
      <c r="NEB38" s="85"/>
      <c r="NEC38" s="85"/>
      <c r="NED38" s="85"/>
      <c r="NEE38" s="85"/>
      <c r="NEF38" s="85"/>
      <c r="NEG38" s="85"/>
      <c r="NEH38" s="85"/>
      <c r="NEI38" s="85"/>
      <c r="NEJ38" s="85"/>
      <c r="NEK38" s="85"/>
      <c r="NEL38" s="85"/>
      <c r="NEM38" s="85"/>
      <c r="NEN38" s="85"/>
      <c r="NEO38" s="85"/>
      <c r="NEP38" s="85"/>
      <c r="NEQ38" s="85"/>
      <c r="NER38" s="85"/>
      <c r="NES38" s="85"/>
      <c r="NET38" s="85"/>
      <c r="NEU38" s="85"/>
      <c r="NEV38" s="85"/>
      <c r="NEW38" s="85"/>
      <c r="NEX38" s="85"/>
      <c r="NEY38" s="85"/>
      <c r="NEZ38" s="85"/>
      <c r="NFA38" s="85"/>
      <c r="NFB38" s="85"/>
      <c r="NFC38" s="85"/>
      <c r="NFD38" s="85"/>
      <c r="NFE38" s="85"/>
      <c r="NFF38" s="85"/>
      <c r="NFG38" s="85"/>
      <c r="NFH38" s="85"/>
      <c r="NFI38" s="85"/>
      <c r="NFJ38" s="85"/>
      <c r="NFK38" s="85"/>
      <c r="NFL38" s="85"/>
      <c r="NFM38" s="85"/>
      <c r="NFN38" s="85"/>
      <c r="NFO38" s="85"/>
      <c r="NFP38" s="85"/>
      <c r="NFQ38" s="85"/>
      <c r="NFR38" s="85"/>
      <c r="NFS38" s="85"/>
      <c r="NFT38" s="85"/>
      <c r="NFU38" s="85"/>
      <c r="NFV38" s="85"/>
      <c r="NFW38" s="85"/>
      <c r="NFX38" s="85"/>
      <c r="NFY38" s="85"/>
      <c r="NFZ38" s="85"/>
      <c r="NGA38" s="85"/>
      <c r="NGB38" s="85"/>
      <c r="NGC38" s="85"/>
      <c r="NGD38" s="85"/>
      <c r="NGE38" s="85"/>
      <c r="NGF38" s="85"/>
      <c r="NGG38" s="85"/>
      <c r="NGH38" s="85"/>
      <c r="NGI38" s="85"/>
      <c r="NGJ38" s="85"/>
      <c r="NGK38" s="85"/>
      <c r="NGL38" s="85"/>
      <c r="NGM38" s="85"/>
      <c r="NGN38" s="85"/>
      <c r="NGO38" s="85"/>
      <c r="NGP38" s="85"/>
      <c r="NGQ38" s="85"/>
      <c r="NGR38" s="85"/>
      <c r="NGS38" s="85"/>
      <c r="NGT38" s="85"/>
      <c r="NGU38" s="85"/>
      <c r="NGV38" s="85"/>
      <c r="NGW38" s="85"/>
      <c r="NGX38" s="85"/>
      <c r="NGY38" s="85"/>
      <c r="NGZ38" s="85"/>
      <c r="NHA38" s="85"/>
      <c r="NHB38" s="85"/>
      <c r="NHC38" s="85"/>
      <c r="NHD38" s="85"/>
      <c r="NHE38" s="85"/>
      <c r="NHF38" s="85"/>
      <c r="NHG38" s="85"/>
      <c r="NHH38" s="85"/>
      <c r="NHI38" s="85"/>
      <c r="NHJ38" s="85"/>
      <c r="NHK38" s="85"/>
      <c r="NHL38" s="85"/>
      <c r="NHM38" s="85"/>
      <c r="NHN38" s="85"/>
      <c r="NHO38" s="85"/>
      <c r="NHP38" s="85"/>
      <c r="NHQ38" s="85"/>
      <c r="NHR38" s="85"/>
      <c r="NHS38" s="85"/>
      <c r="NHT38" s="85"/>
      <c r="NHU38" s="85"/>
      <c r="NHV38" s="85"/>
      <c r="NHW38" s="85"/>
      <c r="NHX38" s="85"/>
      <c r="NHY38" s="85"/>
      <c r="NHZ38" s="85"/>
      <c r="NIA38" s="85"/>
      <c r="NIB38" s="85"/>
      <c r="NIC38" s="85"/>
      <c r="NID38" s="85"/>
      <c r="NIE38" s="85"/>
      <c r="NIF38" s="85"/>
      <c r="NIG38" s="85"/>
      <c r="NIH38" s="85"/>
      <c r="NII38" s="85"/>
      <c r="NIJ38" s="85"/>
      <c r="NIK38" s="85"/>
      <c r="NIL38" s="85"/>
      <c r="NIM38" s="85"/>
      <c r="NIN38" s="85"/>
      <c r="NIO38" s="85"/>
      <c r="NIP38" s="85"/>
      <c r="NIQ38" s="85"/>
      <c r="NIR38" s="85"/>
      <c r="NIS38" s="85"/>
      <c r="NIT38" s="85"/>
      <c r="NIU38" s="85"/>
      <c r="NIV38" s="85"/>
      <c r="NIW38" s="85"/>
      <c r="NIX38" s="85"/>
      <c r="NIY38" s="85"/>
      <c r="NIZ38" s="85"/>
      <c r="NJA38" s="85"/>
      <c r="NJB38" s="85"/>
      <c r="NJC38" s="85"/>
      <c r="NJD38" s="85"/>
      <c r="NJE38" s="85"/>
      <c r="NJF38" s="85"/>
      <c r="NJG38" s="85"/>
      <c r="NJH38" s="85"/>
      <c r="NJI38" s="85"/>
      <c r="NJJ38" s="85"/>
      <c r="NJK38" s="85"/>
      <c r="NJL38" s="85"/>
      <c r="NJM38" s="85"/>
      <c r="NJN38" s="85"/>
      <c r="NJO38" s="85"/>
      <c r="NJP38" s="85"/>
      <c r="NJQ38" s="85"/>
      <c r="NJR38" s="85"/>
      <c r="NJS38" s="85"/>
      <c r="NJT38" s="85"/>
      <c r="NJU38" s="85"/>
      <c r="NJV38" s="85"/>
      <c r="NJW38" s="85"/>
      <c r="NJX38" s="85"/>
      <c r="NJY38" s="85"/>
      <c r="NJZ38" s="85"/>
      <c r="NKA38" s="85"/>
      <c r="NKB38" s="85"/>
      <c r="NKC38" s="85"/>
      <c r="NKD38" s="85"/>
      <c r="NKE38" s="85"/>
      <c r="NKF38" s="85"/>
      <c r="NKG38" s="85"/>
      <c r="NKH38" s="85"/>
      <c r="NKI38" s="85"/>
      <c r="NKJ38" s="85"/>
      <c r="NKK38" s="85"/>
      <c r="NKL38" s="85"/>
      <c r="NKM38" s="85"/>
      <c r="NKN38" s="85"/>
      <c r="NKO38" s="85"/>
      <c r="NKP38" s="85"/>
      <c r="NKQ38" s="85"/>
      <c r="NKR38" s="85"/>
      <c r="NKS38" s="85"/>
      <c r="NKT38" s="85"/>
      <c r="NKU38" s="85"/>
      <c r="NKV38" s="85"/>
      <c r="NKW38" s="85"/>
      <c r="NKX38" s="85"/>
      <c r="NKY38" s="85"/>
      <c r="NKZ38" s="85"/>
      <c r="NLA38" s="85"/>
      <c r="NLB38" s="85"/>
      <c r="NLC38" s="85"/>
      <c r="NLD38" s="85"/>
      <c r="NLE38" s="85"/>
      <c r="NLF38" s="85"/>
      <c r="NLG38" s="85"/>
      <c r="NLH38" s="85"/>
      <c r="NLI38" s="85"/>
      <c r="NLJ38" s="85"/>
      <c r="NLK38" s="85"/>
      <c r="NLL38" s="85"/>
      <c r="NLM38" s="85"/>
      <c r="NLN38" s="85"/>
      <c r="NLO38" s="85"/>
      <c r="NLP38" s="85"/>
      <c r="NLQ38" s="85"/>
      <c r="NLR38" s="85"/>
      <c r="NLS38" s="85"/>
      <c r="NLT38" s="85"/>
      <c r="NLU38" s="85"/>
      <c r="NLV38" s="85"/>
      <c r="NLW38" s="85"/>
      <c r="NLX38" s="85"/>
      <c r="NLY38" s="85"/>
      <c r="NLZ38" s="85"/>
      <c r="NMA38" s="85"/>
      <c r="NMB38" s="85"/>
      <c r="NMC38" s="85"/>
      <c r="NMD38" s="85"/>
      <c r="NME38" s="85"/>
      <c r="NMF38" s="85"/>
      <c r="NMG38" s="85"/>
      <c r="NMH38" s="85"/>
      <c r="NMI38" s="85"/>
      <c r="NMJ38" s="85"/>
      <c r="NMK38" s="85"/>
      <c r="NML38" s="85"/>
      <c r="NMM38" s="85"/>
      <c r="NMN38" s="85"/>
      <c r="NMO38" s="85"/>
      <c r="NMP38" s="85"/>
      <c r="NMQ38" s="85"/>
      <c r="NMR38" s="85"/>
      <c r="NMS38" s="85"/>
      <c r="NMT38" s="85"/>
      <c r="NMU38" s="85"/>
      <c r="NMV38" s="85"/>
      <c r="NMW38" s="85"/>
      <c r="NMX38" s="85"/>
      <c r="NMY38" s="85"/>
      <c r="NMZ38" s="85"/>
      <c r="NNA38" s="85"/>
      <c r="NNB38" s="85"/>
      <c r="NNC38" s="85"/>
      <c r="NND38" s="85"/>
      <c r="NNE38" s="85"/>
      <c r="NNF38" s="85"/>
      <c r="NNG38" s="85"/>
      <c r="NNH38" s="85"/>
      <c r="NNI38" s="85"/>
      <c r="NNJ38" s="85"/>
      <c r="NNK38" s="85"/>
      <c r="NNL38" s="85"/>
      <c r="NNM38" s="85"/>
      <c r="NNN38" s="85"/>
      <c r="NNO38" s="85"/>
      <c r="NNP38" s="85"/>
      <c r="NNQ38" s="85"/>
      <c r="NNR38" s="85"/>
      <c r="NNS38" s="85"/>
      <c r="NNT38" s="85"/>
      <c r="NNU38" s="85"/>
      <c r="NNV38" s="85"/>
      <c r="NNW38" s="85"/>
      <c r="NNX38" s="85"/>
      <c r="NNY38" s="85"/>
      <c r="NNZ38" s="85"/>
      <c r="NOA38" s="85"/>
      <c r="NOB38" s="85"/>
      <c r="NOC38" s="85"/>
      <c r="NOD38" s="85"/>
      <c r="NOE38" s="85"/>
      <c r="NOF38" s="85"/>
      <c r="NOG38" s="85"/>
      <c r="NOH38" s="85"/>
      <c r="NOI38" s="85"/>
      <c r="NOJ38" s="85"/>
      <c r="NOK38" s="85"/>
      <c r="NOL38" s="85"/>
      <c r="NOM38" s="85"/>
      <c r="NON38" s="85"/>
      <c r="NOO38" s="85"/>
      <c r="NOP38" s="85"/>
      <c r="NOQ38" s="85"/>
      <c r="NOR38" s="85"/>
      <c r="NOS38" s="85"/>
      <c r="NOT38" s="85"/>
      <c r="NOU38" s="85"/>
      <c r="NOV38" s="85"/>
      <c r="NOW38" s="85"/>
      <c r="NOX38" s="85"/>
      <c r="NOY38" s="85"/>
      <c r="NOZ38" s="85"/>
      <c r="NPA38" s="85"/>
      <c r="NPB38" s="85"/>
      <c r="NPC38" s="85"/>
      <c r="NPD38" s="85"/>
      <c r="NPE38" s="85"/>
      <c r="NPF38" s="85"/>
      <c r="NPG38" s="85"/>
      <c r="NPH38" s="85"/>
      <c r="NPI38" s="85"/>
      <c r="NPJ38" s="85"/>
      <c r="NPK38" s="85"/>
      <c r="NPL38" s="85"/>
      <c r="NPM38" s="85"/>
      <c r="NPN38" s="85"/>
      <c r="NPO38" s="85"/>
      <c r="NPP38" s="85"/>
      <c r="NPQ38" s="85"/>
      <c r="NPR38" s="85"/>
      <c r="NPS38" s="85"/>
      <c r="NPT38" s="85"/>
      <c r="NPU38" s="85"/>
      <c r="NPV38" s="85"/>
      <c r="NPW38" s="85"/>
      <c r="NPX38" s="85"/>
      <c r="NPY38" s="85"/>
      <c r="NPZ38" s="85"/>
      <c r="NQA38" s="85"/>
      <c r="NQB38" s="85"/>
      <c r="NQC38" s="85"/>
      <c r="NQD38" s="85"/>
      <c r="NQE38" s="85"/>
      <c r="NQF38" s="85"/>
      <c r="NQG38" s="85"/>
      <c r="NQH38" s="85"/>
      <c r="NQI38" s="85"/>
      <c r="NQJ38" s="85"/>
      <c r="NQK38" s="85"/>
      <c r="NQL38" s="85"/>
      <c r="NQM38" s="85"/>
      <c r="NQN38" s="85"/>
      <c r="NQO38" s="85"/>
      <c r="NQP38" s="85"/>
      <c r="NQQ38" s="85"/>
      <c r="NQR38" s="85"/>
      <c r="NQS38" s="85"/>
      <c r="NQT38" s="85"/>
      <c r="NQU38" s="85"/>
      <c r="NQV38" s="85"/>
      <c r="NQW38" s="85"/>
      <c r="NQX38" s="85"/>
      <c r="NQY38" s="85"/>
      <c r="NQZ38" s="85"/>
      <c r="NRA38" s="85"/>
      <c r="NRB38" s="85"/>
      <c r="NRC38" s="85"/>
      <c r="NRD38" s="85"/>
      <c r="NRE38" s="85"/>
      <c r="NRF38" s="85"/>
      <c r="NRG38" s="85"/>
      <c r="NRH38" s="85"/>
      <c r="NRI38" s="85"/>
      <c r="NRJ38" s="85"/>
      <c r="NRK38" s="85"/>
      <c r="NRL38" s="85"/>
      <c r="NRM38" s="85"/>
      <c r="NRN38" s="85"/>
      <c r="NRO38" s="85"/>
      <c r="NRP38" s="85"/>
      <c r="NRQ38" s="85"/>
      <c r="NRR38" s="85"/>
      <c r="NRS38" s="85"/>
      <c r="NRT38" s="85"/>
      <c r="NRU38" s="85"/>
      <c r="NRV38" s="85"/>
      <c r="NRW38" s="85"/>
      <c r="NRX38" s="85"/>
      <c r="NRY38" s="85"/>
      <c r="NRZ38" s="85"/>
      <c r="NSA38" s="85"/>
      <c r="NSB38" s="85"/>
      <c r="NSC38" s="85"/>
      <c r="NSD38" s="85"/>
      <c r="NSE38" s="85"/>
      <c r="NSF38" s="85"/>
      <c r="NSG38" s="85"/>
      <c r="NSH38" s="85"/>
      <c r="NSI38" s="85"/>
      <c r="NSJ38" s="85"/>
      <c r="NSK38" s="85"/>
      <c r="NSL38" s="85"/>
      <c r="NSM38" s="85"/>
      <c r="NSN38" s="85"/>
      <c r="NSO38" s="85"/>
      <c r="NSP38" s="85"/>
      <c r="NSQ38" s="85"/>
      <c r="NSR38" s="85"/>
      <c r="NSS38" s="85"/>
      <c r="NST38" s="85"/>
      <c r="NSU38" s="85"/>
      <c r="NSV38" s="85"/>
      <c r="NSW38" s="85"/>
      <c r="NSX38" s="85"/>
      <c r="NSY38" s="85"/>
      <c r="NSZ38" s="85"/>
      <c r="NTA38" s="85"/>
      <c r="NTB38" s="85"/>
      <c r="NTC38" s="85"/>
      <c r="NTD38" s="85"/>
      <c r="NTE38" s="85"/>
      <c r="NTF38" s="85"/>
      <c r="NTG38" s="85"/>
      <c r="NTH38" s="85"/>
      <c r="NTI38" s="85"/>
      <c r="NTJ38" s="85"/>
      <c r="NTK38" s="85"/>
      <c r="NTL38" s="85"/>
      <c r="NTM38" s="85"/>
      <c r="NTN38" s="85"/>
      <c r="NTO38" s="85"/>
      <c r="NTP38" s="85"/>
      <c r="NTQ38" s="85"/>
      <c r="NTR38" s="85"/>
      <c r="NTS38" s="85"/>
      <c r="NTT38" s="85"/>
      <c r="NTU38" s="85"/>
      <c r="NTV38" s="85"/>
      <c r="NTW38" s="85"/>
      <c r="NTX38" s="85"/>
      <c r="NTY38" s="85"/>
      <c r="NTZ38" s="85"/>
      <c r="NUA38" s="85"/>
      <c r="NUB38" s="85"/>
      <c r="NUC38" s="85"/>
      <c r="NUD38" s="85"/>
      <c r="NUE38" s="85"/>
      <c r="NUF38" s="85"/>
      <c r="NUG38" s="85"/>
      <c r="NUH38" s="85"/>
      <c r="NUI38" s="85"/>
      <c r="NUJ38" s="85"/>
      <c r="NUK38" s="85"/>
      <c r="NUL38" s="85"/>
      <c r="NUM38" s="85"/>
      <c r="NUN38" s="85"/>
      <c r="NUO38" s="85"/>
      <c r="NUP38" s="85"/>
      <c r="NUQ38" s="85"/>
      <c r="NUR38" s="85"/>
      <c r="NUS38" s="85"/>
      <c r="NUT38" s="85"/>
      <c r="NUU38" s="85"/>
      <c r="NUV38" s="85"/>
      <c r="NUW38" s="85"/>
      <c r="NUX38" s="85"/>
      <c r="NUY38" s="85"/>
      <c r="NUZ38" s="85"/>
      <c r="NVA38" s="85"/>
      <c r="NVB38" s="85"/>
      <c r="NVC38" s="85"/>
      <c r="NVD38" s="85"/>
      <c r="NVE38" s="85"/>
      <c r="NVF38" s="85"/>
      <c r="NVG38" s="85"/>
      <c r="NVH38" s="85"/>
      <c r="NVI38" s="85"/>
      <c r="NVJ38" s="85"/>
      <c r="NVK38" s="85"/>
      <c r="NVL38" s="85"/>
      <c r="NVM38" s="85"/>
      <c r="NVN38" s="85"/>
      <c r="NVO38" s="85"/>
      <c r="NVP38" s="85"/>
      <c r="NVQ38" s="85"/>
      <c r="NVR38" s="85"/>
      <c r="NVS38" s="85"/>
      <c r="NVT38" s="85"/>
      <c r="NVU38" s="85"/>
      <c r="NVV38" s="85"/>
      <c r="NVW38" s="85"/>
      <c r="NVX38" s="85"/>
      <c r="NVY38" s="85"/>
      <c r="NVZ38" s="85"/>
      <c r="NWA38" s="85"/>
      <c r="NWB38" s="85"/>
      <c r="NWC38" s="85"/>
      <c r="NWD38" s="85"/>
      <c r="NWE38" s="85"/>
      <c r="NWF38" s="85"/>
      <c r="NWG38" s="85"/>
      <c r="NWH38" s="85"/>
      <c r="NWI38" s="85"/>
      <c r="NWJ38" s="85"/>
      <c r="NWK38" s="85"/>
      <c r="NWL38" s="85"/>
      <c r="NWM38" s="85"/>
      <c r="NWN38" s="85"/>
      <c r="NWO38" s="85"/>
      <c r="NWP38" s="85"/>
      <c r="NWQ38" s="85"/>
      <c r="NWR38" s="85"/>
      <c r="NWS38" s="85"/>
      <c r="NWT38" s="85"/>
      <c r="NWU38" s="85"/>
      <c r="NWV38" s="85"/>
      <c r="NWW38" s="85"/>
      <c r="NWX38" s="85"/>
      <c r="NWY38" s="85"/>
      <c r="NWZ38" s="85"/>
      <c r="NXA38" s="85"/>
      <c r="NXB38" s="85"/>
      <c r="NXC38" s="85"/>
      <c r="NXD38" s="85"/>
      <c r="NXE38" s="85"/>
      <c r="NXF38" s="85"/>
      <c r="NXG38" s="85"/>
      <c r="NXH38" s="85"/>
      <c r="NXI38" s="85"/>
      <c r="NXJ38" s="85"/>
      <c r="NXK38" s="85"/>
      <c r="NXL38" s="85"/>
      <c r="NXM38" s="85"/>
      <c r="NXN38" s="85"/>
      <c r="NXO38" s="85"/>
      <c r="NXP38" s="85"/>
      <c r="NXQ38" s="85"/>
      <c r="NXR38" s="85"/>
      <c r="NXS38" s="85"/>
      <c r="NXT38" s="85"/>
      <c r="NXU38" s="85"/>
      <c r="NXV38" s="85"/>
      <c r="NXW38" s="85"/>
      <c r="NXX38" s="85"/>
      <c r="NXY38" s="85"/>
      <c r="NXZ38" s="85"/>
      <c r="NYA38" s="85"/>
      <c r="NYB38" s="85"/>
      <c r="NYC38" s="85"/>
      <c r="NYD38" s="85"/>
      <c r="NYE38" s="85"/>
      <c r="NYF38" s="85"/>
      <c r="NYG38" s="85"/>
      <c r="NYH38" s="85"/>
      <c r="NYI38" s="85"/>
      <c r="NYJ38" s="85"/>
      <c r="NYK38" s="85"/>
      <c r="NYL38" s="85"/>
      <c r="NYM38" s="85"/>
      <c r="NYN38" s="85"/>
      <c r="NYO38" s="85"/>
      <c r="NYP38" s="85"/>
      <c r="NYQ38" s="85"/>
      <c r="NYR38" s="85"/>
      <c r="NYS38" s="85"/>
      <c r="NYT38" s="85"/>
      <c r="NYU38" s="85"/>
      <c r="NYV38" s="85"/>
      <c r="NYW38" s="85"/>
      <c r="NYX38" s="85"/>
      <c r="NYY38" s="85"/>
      <c r="NYZ38" s="85"/>
      <c r="NZA38" s="85"/>
      <c r="NZB38" s="85"/>
      <c r="NZC38" s="85"/>
      <c r="NZD38" s="85"/>
      <c r="NZE38" s="85"/>
      <c r="NZF38" s="85"/>
      <c r="NZG38" s="85"/>
      <c r="NZH38" s="85"/>
      <c r="NZI38" s="85"/>
      <c r="NZJ38" s="85"/>
      <c r="NZK38" s="85"/>
      <c r="NZL38" s="85"/>
      <c r="NZM38" s="85"/>
      <c r="NZN38" s="85"/>
      <c r="NZO38" s="85"/>
      <c r="NZP38" s="85"/>
      <c r="NZQ38" s="85"/>
      <c r="NZR38" s="85"/>
      <c r="NZS38" s="85"/>
      <c r="NZT38" s="85"/>
      <c r="NZU38" s="85"/>
      <c r="NZV38" s="85"/>
      <c r="NZW38" s="85"/>
      <c r="NZX38" s="85"/>
      <c r="NZY38" s="85"/>
      <c r="NZZ38" s="85"/>
      <c r="OAA38" s="85"/>
      <c r="OAB38" s="85"/>
      <c r="OAC38" s="85"/>
      <c r="OAD38" s="85"/>
      <c r="OAE38" s="85"/>
      <c r="OAF38" s="85"/>
      <c r="OAG38" s="85"/>
      <c r="OAH38" s="85"/>
      <c r="OAI38" s="85"/>
      <c r="OAJ38" s="85"/>
      <c r="OAK38" s="85"/>
      <c r="OAL38" s="85"/>
      <c r="OAM38" s="85"/>
      <c r="OAN38" s="85"/>
      <c r="OAO38" s="85"/>
      <c r="OAP38" s="85"/>
      <c r="OAQ38" s="85"/>
      <c r="OAR38" s="85"/>
      <c r="OAS38" s="85"/>
      <c r="OAT38" s="85"/>
      <c r="OAU38" s="85"/>
      <c r="OAV38" s="85"/>
      <c r="OAW38" s="85"/>
      <c r="OAX38" s="85"/>
      <c r="OAY38" s="85"/>
      <c r="OAZ38" s="85"/>
      <c r="OBA38" s="85"/>
      <c r="OBB38" s="85"/>
      <c r="OBC38" s="85"/>
      <c r="OBD38" s="85"/>
      <c r="OBE38" s="85"/>
      <c r="OBF38" s="85"/>
      <c r="OBG38" s="85"/>
      <c r="OBH38" s="85"/>
      <c r="OBI38" s="85"/>
      <c r="OBJ38" s="85"/>
      <c r="OBK38" s="85"/>
      <c r="OBL38" s="85"/>
      <c r="OBM38" s="85"/>
      <c r="OBN38" s="85"/>
      <c r="OBO38" s="85"/>
      <c r="OBP38" s="85"/>
      <c r="OBQ38" s="85"/>
      <c r="OBR38" s="85"/>
      <c r="OBS38" s="85"/>
      <c r="OBT38" s="85"/>
      <c r="OBU38" s="85"/>
      <c r="OBV38" s="85"/>
      <c r="OBW38" s="85"/>
      <c r="OBX38" s="85"/>
      <c r="OBY38" s="85"/>
      <c r="OBZ38" s="85"/>
      <c r="OCA38" s="85"/>
      <c r="OCB38" s="85"/>
      <c r="OCC38" s="85"/>
      <c r="OCD38" s="85"/>
      <c r="OCE38" s="85"/>
      <c r="OCF38" s="85"/>
      <c r="OCG38" s="85"/>
      <c r="OCH38" s="85"/>
      <c r="OCI38" s="85"/>
      <c r="OCJ38" s="85"/>
      <c r="OCK38" s="85"/>
      <c r="OCL38" s="85"/>
      <c r="OCM38" s="85"/>
      <c r="OCN38" s="85"/>
      <c r="OCO38" s="85"/>
      <c r="OCP38" s="85"/>
      <c r="OCQ38" s="85"/>
      <c r="OCR38" s="85"/>
      <c r="OCS38" s="85"/>
      <c r="OCT38" s="85"/>
      <c r="OCU38" s="85"/>
      <c r="OCV38" s="85"/>
      <c r="OCW38" s="85"/>
      <c r="OCX38" s="85"/>
      <c r="OCY38" s="85"/>
      <c r="OCZ38" s="85"/>
      <c r="ODA38" s="85"/>
      <c r="ODB38" s="85"/>
      <c r="ODC38" s="85"/>
      <c r="ODD38" s="85"/>
      <c r="ODE38" s="85"/>
      <c r="ODF38" s="85"/>
      <c r="ODG38" s="85"/>
      <c r="ODH38" s="85"/>
      <c r="ODI38" s="85"/>
      <c r="ODJ38" s="85"/>
      <c r="ODK38" s="85"/>
      <c r="ODL38" s="85"/>
      <c r="ODM38" s="85"/>
      <c r="ODN38" s="85"/>
      <c r="ODO38" s="85"/>
      <c r="ODP38" s="85"/>
      <c r="ODQ38" s="85"/>
      <c r="ODR38" s="85"/>
      <c r="ODS38" s="85"/>
      <c r="ODT38" s="85"/>
      <c r="ODU38" s="85"/>
      <c r="ODV38" s="85"/>
      <c r="ODW38" s="85"/>
      <c r="ODX38" s="85"/>
      <c r="ODY38" s="85"/>
      <c r="ODZ38" s="85"/>
      <c r="OEA38" s="85"/>
      <c r="OEB38" s="85"/>
      <c r="OEC38" s="85"/>
      <c r="OED38" s="85"/>
      <c r="OEE38" s="85"/>
      <c r="OEF38" s="85"/>
      <c r="OEG38" s="85"/>
      <c r="OEH38" s="85"/>
      <c r="OEI38" s="85"/>
      <c r="OEJ38" s="85"/>
      <c r="OEK38" s="85"/>
      <c r="OEL38" s="85"/>
      <c r="OEM38" s="85"/>
      <c r="OEN38" s="85"/>
      <c r="OEO38" s="85"/>
      <c r="OEP38" s="85"/>
      <c r="OEQ38" s="85"/>
      <c r="OER38" s="85"/>
      <c r="OES38" s="85"/>
      <c r="OET38" s="85"/>
      <c r="OEU38" s="85"/>
      <c r="OEV38" s="85"/>
      <c r="OEW38" s="85"/>
      <c r="OEX38" s="85"/>
      <c r="OEY38" s="85"/>
      <c r="OEZ38" s="85"/>
      <c r="OFA38" s="85"/>
      <c r="OFB38" s="85"/>
      <c r="OFC38" s="85"/>
      <c r="OFD38" s="85"/>
      <c r="OFE38" s="85"/>
      <c r="OFF38" s="85"/>
      <c r="OFG38" s="85"/>
      <c r="OFH38" s="85"/>
      <c r="OFI38" s="85"/>
      <c r="OFJ38" s="85"/>
      <c r="OFK38" s="85"/>
      <c r="OFL38" s="85"/>
      <c r="OFM38" s="85"/>
      <c r="OFN38" s="85"/>
      <c r="OFO38" s="85"/>
      <c r="OFP38" s="85"/>
      <c r="OFQ38" s="85"/>
      <c r="OFR38" s="85"/>
      <c r="OFS38" s="85"/>
      <c r="OFT38" s="85"/>
      <c r="OFU38" s="85"/>
      <c r="OFV38" s="85"/>
      <c r="OFW38" s="85"/>
      <c r="OFX38" s="85"/>
      <c r="OFY38" s="85"/>
      <c r="OFZ38" s="85"/>
      <c r="OGA38" s="85"/>
      <c r="OGB38" s="85"/>
      <c r="OGC38" s="85"/>
      <c r="OGD38" s="85"/>
      <c r="OGE38" s="85"/>
      <c r="OGF38" s="85"/>
      <c r="OGG38" s="85"/>
      <c r="OGH38" s="85"/>
      <c r="OGI38" s="85"/>
      <c r="OGJ38" s="85"/>
      <c r="OGK38" s="85"/>
      <c r="OGL38" s="85"/>
      <c r="OGM38" s="85"/>
      <c r="OGN38" s="85"/>
      <c r="OGO38" s="85"/>
      <c r="OGP38" s="85"/>
      <c r="OGQ38" s="85"/>
      <c r="OGR38" s="85"/>
      <c r="OGS38" s="85"/>
      <c r="OGT38" s="85"/>
      <c r="OGU38" s="85"/>
      <c r="OGV38" s="85"/>
      <c r="OGW38" s="85"/>
      <c r="OGX38" s="85"/>
      <c r="OGY38" s="85"/>
      <c r="OGZ38" s="85"/>
      <c r="OHA38" s="85"/>
      <c r="OHB38" s="85"/>
      <c r="OHC38" s="85"/>
      <c r="OHD38" s="85"/>
      <c r="OHE38" s="85"/>
      <c r="OHF38" s="85"/>
      <c r="OHG38" s="85"/>
      <c r="OHH38" s="85"/>
      <c r="OHI38" s="85"/>
      <c r="OHJ38" s="85"/>
      <c r="OHK38" s="85"/>
      <c r="OHL38" s="85"/>
      <c r="OHM38" s="85"/>
      <c r="OHN38" s="85"/>
      <c r="OHO38" s="85"/>
      <c r="OHP38" s="85"/>
      <c r="OHQ38" s="85"/>
      <c r="OHR38" s="85"/>
      <c r="OHS38" s="85"/>
      <c r="OHT38" s="85"/>
      <c r="OHU38" s="85"/>
      <c r="OHV38" s="85"/>
      <c r="OHW38" s="85"/>
      <c r="OHX38" s="85"/>
      <c r="OHY38" s="85"/>
      <c r="OHZ38" s="85"/>
      <c r="OIA38" s="85"/>
      <c r="OIB38" s="85"/>
      <c r="OIC38" s="85"/>
      <c r="OID38" s="85"/>
      <c r="OIE38" s="85"/>
      <c r="OIF38" s="85"/>
      <c r="OIG38" s="85"/>
      <c r="OIH38" s="85"/>
      <c r="OII38" s="85"/>
      <c r="OIJ38" s="85"/>
      <c r="OIK38" s="85"/>
      <c r="OIL38" s="85"/>
      <c r="OIM38" s="85"/>
      <c r="OIN38" s="85"/>
      <c r="OIO38" s="85"/>
      <c r="OIP38" s="85"/>
      <c r="OIQ38" s="85"/>
      <c r="OIR38" s="85"/>
      <c r="OIS38" s="85"/>
      <c r="OIT38" s="85"/>
      <c r="OIU38" s="85"/>
      <c r="OIV38" s="85"/>
      <c r="OIW38" s="85"/>
      <c r="OIX38" s="85"/>
      <c r="OIY38" s="85"/>
      <c r="OIZ38" s="85"/>
      <c r="OJA38" s="85"/>
      <c r="OJB38" s="85"/>
      <c r="OJC38" s="85"/>
      <c r="OJD38" s="85"/>
      <c r="OJE38" s="85"/>
      <c r="OJF38" s="85"/>
      <c r="OJG38" s="85"/>
      <c r="OJH38" s="85"/>
      <c r="OJI38" s="85"/>
      <c r="OJJ38" s="85"/>
      <c r="OJK38" s="85"/>
      <c r="OJL38" s="85"/>
      <c r="OJM38" s="85"/>
      <c r="OJN38" s="85"/>
      <c r="OJO38" s="85"/>
      <c r="OJP38" s="85"/>
      <c r="OJQ38" s="85"/>
      <c r="OJR38" s="85"/>
      <c r="OJS38" s="85"/>
      <c r="OJT38" s="85"/>
      <c r="OJU38" s="85"/>
      <c r="OJV38" s="85"/>
      <c r="OJW38" s="85"/>
      <c r="OJX38" s="85"/>
      <c r="OJY38" s="85"/>
      <c r="OJZ38" s="85"/>
      <c r="OKA38" s="85"/>
      <c r="OKB38" s="85"/>
      <c r="OKC38" s="85"/>
      <c r="OKD38" s="85"/>
      <c r="OKE38" s="85"/>
      <c r="OKF38" s="85"/>
      <c r="OKG38" s="85"/>
      <c r="OKH38" s="85"/>
      <c r="OKI38" s="85"/>
      <c r="OKJ38" s="85"/>
      <c r="OKK38" s="85"/>
      <c r="OKL38" s="85"/>
      <c r="OKM38" s="85"/>
      <c r="OKN38" s="85"/>
      <c r="OKO38" s="85"/>
      <c r="OKP38" s="85"/>
      <c r="OKQ38" s="85"/>
      <c r="OKR38" s="85"/>
      <c r="OKS38" s="85"/>
      <c r="OKT38" s="85"/>
      <c r="OKU38" s="85"/>
      <c r="OKV38" s="85"/>
      <c r="OKW38" s="85"/>
      <c r="OKX38" s="85"/>
      <c r="OKY38" s="85"/>
      <c r="OKZ38" s="85"/>
      <c r="OLA38" s="85"/>
      <c r="OLB38" s="85"/>
      <c r="OLC38" s="85"/>
      <c r="OLD38" s="85"/>
      <c r="OLE38" s="85"/>
      <c r="OLF38" s="85"/>
      <c r="OLG38" s="85"/>
      <c r="OLH38" s="85"/>
      <c r="OLI38" s="85"/>
      <c r="OLJ38" s="85"/>
      <c r="OLK38" s="85"/>
      <c r="OLL38" s="85"/>
      <c r="OLM38" s="85"/>
      <c r="OLN38" s="85"/>
      <c r="OLO38" s="85"/>
      <c r="OLP38" s="85"/>
      <c r="OLQ38" s="85"/>
      <c r="OLR38" s="85"/>
      <c r="OLS38" s="85"/>
      <c r="OLT38" s="85"/>
      <c r="OLU38" s="85"/>
      <c r="OLV38" s="85"/>
      <c r="OLW38" s="85"/>
      <c r="OLX38" s="85"/>
      <c r="OLY38" s="85"/>
      <c r="OLZ38" s="85"/>
      <c r="OMA38" s="85"/>
      <c r="OMB38" s="85"/>
      <c r="OMC38" s="85"/>
      <c r="OMD38" s="85"/>
      <c r="OME38" s="85"/>
      <c r="OMF38" s="85"/>
      <c r="OMG38" s="85"/>
      <c r="OMH38" s="85"/>
      <c r="OMI38" s="85"/>
      <c r="OMJ38" s="85"/>
      <c r="OMK38" s="85"/>
      <c r="OML38" s="85"/>
      <c r="OMM38" s="85"/>
      <c r="OMN38" s="85"/>
      <c r="OMO38" s="85"/>
      <c r="OMP38" s="85"/>
      <c r="OMQ38" s="85"/>
      <c r="OMR38" s="85"/>
      <c r="OMS38" s="85"/>
      <c r="OMT38" s="85"/>
      <c r="OMU38" s="85"/>
      <c r="OMV38" s="85"/>
      <c r="OMW38" s="85"/>
      <c r="OMX38" s="85"/>
      <c r="OMY38" s="85"/>
      <c r="OMZ38" s="85"/>
      <c r="ONA38" s="85"/>
      <c r="ONB38" s="85"/>
      <c r="ONC38" s="85"/>
      <c r="OND38" s="85"/>
      <c r="ONE38" s="85"/>
      <c r="ONF38" s="85"/>
      <c r="ONG38" s="85"/>
      <c r="ONH38" s="85"/>
      <c r="ONI38" s="85"/>
      <c r="ONJ38" s="85"/>
      <c r="ONK38" s="85"/>
      <c r="ONL38" s="85"/>
      <c r="ONM38" s="85"/>
      <c r="ONN38" s="85"/>
      <c r="ONO38" s="85"/>
      <c r="ONP38" s="85"/>
      <c r="ONQ38" s="85"/>
      <c r="ONR38" s="85"/>
      <c r="ONS38" s="85"/>
      <c r="ONT38" s="85"/>
      <c r="ONU38" s="85"/>
      <c r="ONV38" s="85"/>
      <c r="ONW38" s="85"/>
      <c r="ONX38" s="85"/>
      <c r="ONY38" s="85"/>
      <c r="ONZ38" s="85"/>
      <c r="OOA38" s="85"/>
      <c r="OOB38" s="85"/>
      <c r="OOC38" s="85"/>
      <c r="OOD38" s="85"/>
      <c r="OOE38" s="85"/>
      <c r="OOF38" s="85"/>
      <c r="OOG38" s="85"/>
      <c r="OOH38" s="85"/>
      <c r="OOI38" s="85"/>
      <c r="OOJ38" s="85"/>
      <c r="OOK38" s="85"/>
      <c r="OOL38" s="85"/>
      <c r="OOM38" s="85"/>
      <c r="OON38" s="85"/>
      <c r="OOO38" s="85"/>
      <c r="OOP38" s="85"/>
      <c r="OOQ38" s="85"/>
      <c r="OOR38" s="85"/>
      <c r="OOS38" s="85"/>
      <c r="OOT38" s="85"/>
      <c r="OOU38" s="85"/>
      <c r="OOV38" s="85"/>
      <c r="OOW38" s="85"/>
      <c r="OOX38" s="85"/>
      <c r="OOY38" s="85"/>
      <c r="OOZ38" s="85"/>
      <c r="OPA38" s="85"/>
      <c r="OPB38" s="85"/>
      <c r="OPC38" s="85"/>
      <c r="OPD38" s="85"/>
      <c r="OPE38" s="85"/>
      <c r="OPF38" s="85"/>
      <c r="OPG38" s="85"/>
      <c r="OPH38" s="85"/>
      <c r="OPI38" s="85"/>
      <c r="OPJ38" s="85"/>
      <c r="OPK38" s="85"/>
      <c r="OPL38" s="85"/>
      <c r="OPM38" s="85"/>
      <c r="OPN38" s="85"/>
      <c r="OPO38" s="85"/>
      <c r="OPP38" s="85"/>
      <c r="OPQ38" s="85"/>
      <c r="OPR38" s="85"/>
      <c r="OPS38" s="85"/>
      <c r="OPT38" s="85"/>
      <c r="OPU38" s="85"/>
      <c r="OPV38" s="85"/>
      <c r="OPW38" s="85"/>
      <c r="OPX38" s="85"/>
      <c r="OPY38" s="85"/>
      <c r="OPZ38" s="85"/>
      <c r="OQA38" s="85"/>
      <c r="OQB38" s="85"/>
      <c r="OQC38" s="85"/>
      <c r="OQD38" s="85"/>
      <c r="OQE38" s="85"/>
      <c r="OQF38" s="85"/>
      <c r="OQG38" s="85"/>
      <c r="OQH38" s="85"/>
      <c r="OQI38" s="85"/>
      <c r="OQJ38" s="85"/>
      <c r="OQK38" s="85"/>
      <c r="OQL38" s="85"/>
      <c r="OQM38" s="85"/>
      <c r="OQN38" s="85"/>
      <c r="OQO38" s="85"/>
      <c r="OQP38" s="85"/>
      <c r="OQQ38" s="85"/>
      <c r="OQR38" s="85"/>
      <c r="OQS38" s="85"/>
      <c r="OQT38" s="85"/>
      <c r="OQU38" s="85"/>
      <c r="OQV38" s="85"/>
      <c r="OQW38" s="85"/>
      <c r="OQX38" s="85"/>
      <c r="OQY38" s="85"/>
      <c r="OQZ38" s="85"/>
      <c r="ORA38" s="85"/>
      <c r="ORB38" s="85"/>
      <c r="ORC38" s="85"/>
      <c r="ORD38" s="85"/>
      <c r="ORE38" s="85"/>
      <c r="ORF38" s="85"/>
      <c r="ORG38" s="85"/>
      <c r="ORH38" s="85"/>
      <c r="ORI38" s="85"/>
      <c r="ORJ38" s="85"/>
      <c r="ORK38" s="85"/>
      <c r="ORL38" s="85"/>
      <c r="ORM38" s="85"/>
      <c r="ORN38" s="85"/>
      <c r="ORO38" s="85"/>
      <c r="ORP38" s="85"/>
      <c r="ORQ38" s="85"/>
      <c r="ORR38" s="85"/>
      <c r="ORS38" s="85"/>
      <c r="ORT38" s="85"/>
      <c r="ORU38" s="85"/>
      <c r="ORV38" s="85"/>
      <c r="ORW38" s="85"/>
      <c r="ORX38" s="85"/>
      <c r="ORY38" s="85"/>
      <c r="ORZ38" s="85"/>
      <c r="OSA38" s="85"/>
      <c r="OSB38" s="85"/>
      <c r="OSC38" s="85"/>
      <c r="OSD38" s="85"/>
      <c r="OSE38" s="85"/>
      <c r="OSF38" s="85"/>
      <c r="OSG38" s="85"/>
      <c r="OSH38" s="85"/>
      <c r="OSI38" s="85"/>
      <c r="OSJ38" s="85"/>
      <c r="OSK38" s="85"/>
      <c r="OSL38" s="85"/>
      <c r="OSM38" s="85"/>
      <c r="OSN38" s="85"/>
      <c r="OSO38" s="85"/>
      <c r="OSP38" s="85"/>
      <c r="OSQ38" s="85"/>
      <c r="OSR38" s="85"/>
      <c r="OSS38" s="85"/>
      <c r="OST38" s="85"/>
      <c r="OSU38" s="85"/>
      <c r="OSV38" s="85"/>
      <c r="OSW38" s="85"/>
      <c r="OSX38" s="85"/>
      <c r="OSY38" s="85"/>
      <c r="OSZ38" s="85"/>
      <c r="OTA38" s="85"/>
      <c r="OTB38" s="85"/>
      <c r="OTC38" s="85"/>
      <c r="OTD38" s="85"/>
      <c r="OTE38" s="85"/>
      <c r="OTF38" s="85"/>
      <c r="OTG38" s="85"/>
      <c r="OTH38" s="85"/>
      <c r="OTI38" s="85"/>
      <c r="OTJ38" s="85"/>
      <c r="OTK38" s="85"/>
      <c r="OTL38" s="85"/>
      <c r="OTM38" s="85"/>
      <c r="OTN38" s="85"/>
      <c r="OTO38" s="85"/>
      <c r="OTP38" s="85"/>
      <c r="OTQ38" s="85"/>
      <c r="OTR38" s="85"/>
      <c r="OTS38" s="85"/>
      <c r="OTT38" s="85"/>
      <c r="OTU38" s="85"/>
      <c r="OTV38" s="85"/>
      <c r="OTW38" s="85"/>
      <c r="OTX38" s="85"/>
      <c r="OTY38" s="85"/>
      <c r="OTZ38" s="85"/>
      <c r="OUA38" s="85"/>
      <c r="OUB38" s="85"/>
      <c r="OUC38" s="85"/>
      <c r="OUD38" s="85"/>
      <c r="OUE38" s="85"/>
      <c r="OUF38" s="85"/>
      <c r="OUG38" s="85"/>
      <c r="OUH38" s="85"/>
      <c r="OUI38" s="85"/>
      <c r="OUJ38" s="85"/>
      <c r="OUK38" s="85"/>
      <c r="OUL38" s="85"/>
      <c r="OUM38" s="85"/>
      <c r="OUN38" s="85"/>
      <c r="OUO38" s="85"/>
      <c r="OUP38" s="85"/>
      <c r="OUQ38" s="85"/>
      <c r="OUR38" s="85"/>
      <c r="OUS38" s="85"/>
      <c r="OUT38" s="85"/>
      <c r="OUU38" s="85"/>
      <c r="OUV38" s="85"/>
      <c r="OUW38" s="85"/>
      <c r="OUX38" s="85"/>
      <c r="OUY38" s="85"/>
      <c r="OUZ38" s="85"/>
      <c r="OVA38" s="85"/>
      <c r="OVB38" s="85"/>
      <c r="OVC38" s="85"/>
      <c r="OVD38" s="85"/>
      <c r="OVE38" s="85"/>
      <c r="OVF38" s="85"/>
      <c r="OVG38" s="85"/>
      <c r="OVH38" s="85"/>
      <c r="OVI38" s="85"/>
      <c r="OVJ38" s="85"/>
      <c r="OVK38" s="85"/>
      <c r="OVL38" s="85"/>
      <c r="OVM38" s="85"/>
      <c r="OVN38" s="85"/>
      <c r="OVO38" s="85"/>
      <c r="OVP38" s="85"/>
      <c r="OVQ38" s="85"/>
      <c r="OVR38" s="85"/>
      <c r="OVS38" s="85"/>
      <c r="OVT38" s="85"/>
      <c r="OVU38" s="85"/>
      <c r="OVV38" s="85"/>
      <c r="OVW38" s="85"/>
      <c r="OVX38" s="85"/>
      <c r="OVY38" s="85"/>
      <c r="OVZ38" s="85"/>
      <c r="OWA38" s="85"/>
      <c r="OWB38" s="85"/>
      <c r="OWC38" s="85"/>
      <c r="OWD38" s="85"/>
      <c r="OWE38" s="85"/>
      <c r="OWF38" s="85"/>
      <c r="OWG38" s="85"/>
      <c r="OWH38" s="85"/>
      <c r="OWI38" s="85"/>
      <c r="OWJ38" s="85"/>
      <c r="OWK38" s="85"/>
      <c r="OWL38" s="85"/>
      <c r="OWM38" s="85"/>
      <c r="OWN38" s="85"/>
      <c r="OWO38" s="85"/>
      <c r="OWP38" s="85"/>
      <c r="OWQ38" s="85"/>
      <c r="OWR38" s="85"/>
      <c r="OWS38" s="85"/>
      <c r="OWT38" s="85"/>
      <c r="OWU38" s="85"/>
      <c r="OWV38" s="85"/>
      <c r="OWW38" s="85"/>
      <c r="OWX38" s="85"/>
      <c r="OWY38" s="85"/>
      <c r="OWZ38" s="85"/>
      <c r="OXA38" s="85"/>
      <c r="OXB38" s="85"/>
      <c r="OXC38" s="85"/>
      <c r="OXD38" s="85"/>
      <c r="OXE38" s="85"/>
      <c r="OXF38" s="85"/>
      <c r="OXG38" s="85"/>
      <c r="OXH38" s="85"/>
      <c r="OXI38" s="85"/>
      <c r="OXJ38" s="85"/>
      <c r="OXK38" s="85"/>
      <c r="OXL38" s="85"/>
      <c r="OXM38" s="85"/>
      <c r="OXN38" s="85"/>
      <c r="OXO38" s="85"/>
      <c r="OXP38" s="85"/>
      <c r="OXQ38" s="85"/>
      <c r="OXR38" s="85"/>
      <c r="OXS38" s="85"/>
      <c r="OXT38" s="85"/>
      <c r="OXU38" s="85"/>
      <c r="OXV38" s="85"/>
      <c r="OXW38" s="85"/>
      <c r="OXX38" s="85"/>
      <c r="OXY38" s="85"/>
      <c r="OXZ38" s="85"/>
      <c r="OYA38" s="85"/>
      <c r="OYB38" s="85"/>
      <c r="OYC38" s="85"/>
      <c r="OYD38" s="85"/>
      <c r="OYE38" s="85"/>
      <c r="OYF38" s="85"/>
      <c r="OYG38" s="85"/>
      <c r="OYH38" s="85"/>
      <c r="OYI38" s="85"/>
      <c r="OYJ38" s="85"/>
      <c r="OYK38" s="85"/>
      <c r="OYL38" s="85"/>
      <c r="OYM38" s="85"/>
      <c r="OYN38" s="85"/>
      <c r="OYO38" s="85"/>
      <c r="OYP38" s="85"/>
      <c r="OYQ38" s="85"/>
      <c r="OYR38" s="85"/>
      <c r="OYS38" s="85"/>
      <c r="OYT38" s="85"/>
      <c r="OYU38" s="85"/>
      <c r="OYV38" s="85"/>
      <c r="OYW38" s="85"/>
      <c r="OYX38" s="85"/>
      <c r="OYY38" s="85"/>
      <c r="OYZ38" s="85"/>
      <c r="OZA38" s="85"/>
      <c r="OZB38" s="85"/>
      <c r="OZC38" s="85"/>
      <c r="OZD38" s="85"/>
      <c r="OZE38" s="85"/>
      <c r="OZF38" s="85"/>
      <c r="OZG38" s="85"/>
      <c r="OZH38" s="85"/>
      <c r="OZI38" s="85"/>
      <c r="OZJ38" s="85"/>
      <c r="OZK38" s="85"/>
      <c r="OZL38" s="85"/>
      <c r="OZM38" s="85"/>
      <c r="OZN38" s="85"/>
      <c r="OZO38" s="85"/>
      <c r="OZP38" s="85"/>
      <c r="OZQ38" s="85"/>
      <c r="OZR38" s="85"/>
      <c r="OZS38" s="85"/>
      <c r="OZT38" s="85"/>
      <c r="OZU38" s="85"/>
      <c r="OZV38" s="85"/>
      <c r="OZW38" s="85"/>
      <c r="OZX38" s="85"/>
      <c r="OZY38" s="85"/>
      <c r="OZZ38" s="85"/>
      <c r="PAA38" s="85"/>
      <c r="PAB38" s="85"/>
      <c r="PAC38" s="85"/>
      <c r="PAD38" s="85"/>
      <c r="PAE38" s="85"/>
      <c r="PAF38" s="85"/>
      <c r="PAG38" s="85"/>
      <c r="PAH38" s="85"/>
      <c r="PAI38" s="85"/>
      <c r="PAJ38" s="85"/>
      <c r="PAK38" s="85"/>
      <c r="PAL38" s="85"/>
      <c r="PAM38" s="85"/>
      <c r="PAN38" s="85"/>
      <c r="PAO38" s="85"/>
      <c r="PAP38" s="85"/>
      <c r="PAQ38" s="85"/>
      <c r="PAR38" s="85"/>
      <c r="PAS38" s="85"/>
      <c r="PAT38" s="85"/>
      <c r="PAU38" s="85"/>
      <c r="PAV38" s="85"/>
      <c r="PAW38" s="85"/>
      <c r="PAX38" s="85"/>
      <c r="PAY38" s="85"/>
      <c r="PAZ38" s="85"/>
      <c r="PBA38" s="85"/>
      <c r="PBB38" s="85"/>
      <c r="PBC38" s="85"/>
      <c r="PBD38" s="85"/>
      <c r="PBE38" s="85"/>
      <c r="PBF38" s="85"/>
      <c r="PBG38" s="85"/>
      <c r="PBH38" s="85"/>
      <c r="PBI38" s="85"/>
      <c r="PBJ38" s="85"/>
      <c r="PBK38" s="85"/>
      <c r="PBL38" s="85"/>
      <c r="PBM38" s="85"/>
      <c r="PBN38" s="85"/>
      <c r="PBO38" s="85"/>
      <c r="PBP38" s="85"/>
      <c r="PBQ38" s="85"/>
      <c r="PBR38" s="85"/>
      <c r="PBS38" s="85"/>
      <c r="PBT38" s="85"/>
      <c r="PBU38" s="85"/>
      <c r="PBV38" s="85"/>
      <c r="PBW38" s="85"/>
      <c r="PBX38" s="85"/>
      <c r="PBY38" s="85"/>
      <c r="PBZ38" s="85"/>
      <c r="PCA38" s="85"/>
      <c r="PCB38" s="85"/>
      <c r="PCC38" s="85"/>
      <c r="PCD38" s="85"/>
      <c r="PCE38" s="85"/>
      <c r="PCF38" s="85"/>
      <c r="PCG38" s="85"/>
      <c r="PCH38" s="85"/>
      <c r="PCI38" s="85"/>
      <c r="PCJ38" s="85"/>
      <c r="PCK38" s="85"/>
      <c r="PCL38" s="85"/>
      <c r="PCM38" s="85"/>
      <c r="PCN38" s="85"/>
      <c r="PCO38" s="85"/>
      <c r="PCP38" s="85"/>
      <c r="PCQ38" s="85"/>
      <c r="PCR38" s="85"/>
      <c r="PCS38" s="85"/>
      <c r="PCT38" s="85"/>
      <c r="PCU38" s="85"/>
      <c r="PCV38" s="85"/>
      <c r="PCW38" s="85"/>
      <c r="PCX38" s="85"/>
      <c r="PCY38" s="85"/>
      <c r="PCZ38" s="85"/>
      <c r="PDA38" s="85"/>
      <c r="PDB38" s="85"/>
      <c r="PDC38" s="85"/>
      <c r="PDD38" s="85"/>
      <c r="PDE38" s="85"/>
      <c r="PDF38" s="85"/>
      <c r="PDG38" s="85"/>
      <c r="PDH38" s="85"/>
      <c r="PDI38" s="85"/>
      <c r="PDJ38" s="85"/>
      <c r="PDK38" s="85"/>
      <c r="PDL38" s="85"/>
      <c r="PDM38" s="85"/>
      <c r="PDN38" s="85"/>
      <c r="PDO38" s="85"/>
      <c r="PDP38" s="85"/>
      <c r="PDQ38" s="85"/>
      <c r="PDR38" s="85"/>
      <c r="PDS38" s="85"/>
      <c r="PDT38" s="85"/>
      <c r="PDU38" s="85"/>
      <c r="PDV38" s="85"/>
      <c r="PDW38" s="85"/>
      <c r="PDX38" s="85"/>
      <c r="PDY38" s="85"/>
      <c r="PDZ38" s="85"/>
      <c r="PEA38" s="85"/>
      <c r="PEB38" s="85"/>
      <c r="PEC38" s="85"/>
      <c r="PED38" s="85"/>
      <c r="PEE38" s="85"/>
      <c r="PEF38" s="85"/>
      <c r="PEG38" s="85"/>
      <c r="PEH38" s="85"/>
      <c r="PEI38" s="85"/>
      <c r="PEJ38" s="85"/>
      <c r="PEK38" s="85"/>
      <c r="PEL38" s="85"/>
      <c r="PEM38" s="85"/>
      <c r="PEN38" s="85"/>
      <c r="PEO38" s="85"/>
      <c r="PEP38" s="85"/>
      <c r="PEQ38" s="85"/>
      <c r="PER38" s="85"/>
      <c r="PES38" s="85"/>
      <c r="PET38" s="85"/>
      <c r="PEU38" s="85"/>
      <c r="PEV38" s="85"/>
      <c r="PEW38" s="85"/>
      <c r="PEX38" s="85"/>
      <c r="PEY38" s="85"/>
      <c r="PEZ38" s="85"/>
      <c r="PFA38" s="85"/>
      <c r="PFB38" s="85"/>
      <c r="PFC38" s="85"/>
      <c r="PFD38" s="85"/>
      <c r="PFE38" s="85"/>
      <c r="PFF38" s="85"/>
      <c r="PFG38" s="85"/>
      <c r="PFH38" s="85"/>
      <c r="PFI38" s="85"/>
      <c r="PFJ38" s="85"/>
      <c r="PFK38" s="85"/>
      <c r="PFL38" s="85"/>
      <c r="PFM38" s="85"/>
      <c r="PFN38" s="85"/>
      <c r="PFO38" s="85"/>
      <c r="PFP38" s="85"/>
      <c r="PFQ38" s="85"/>
      <c r="PFR38" s="85"/>
      <c r="PFS38" s="85"/>
      <c r="PFT38" s="85"/>
      <c r="PFU38" s="85"/>
      <c r="PFV38" s="85"/>
      <c r="PFW38" s="85"/>
      <c r="PFX38" s="85"/>
      <c r="PFY38" s="85"/>
      <c r="PFZ38" s="85"/>
      <c r="PGA38" s="85"/>
      <c r="PGB38" s="85"/>
      <c r="PGC38" s="85"/>
      <c r="PGD38" s="85"/>
      <c r="PGE38" s="85"/>
      <c r="PGF38" s="85"/>
      <c r="PGG38" s="85"/>
      <c r="PGH38" s="85"/>
      <c r="PGI38" s="85"/>
      <c r="PGJ38" s="85"/>
      <c r="PGK38" s="85"/>
      <c r="PGL38" s="85"/>
      <c r="PGM38" s="85"/>
      <c r="PGN38" s="85"/>
      <c r="PGO38" s="85"/>
      <c r="PGP38" s="85"/>
      <c r="PGQ38" s="85"/>
      <c r="PGR38" s="85"/>
      <c r="PGS38" s="85"/>
      <c r="PGT38" s="85"/>
      <c r="PGU38" s="85"/>
      <c r="PGV38" s="85"/>
      <c r="PGW38" s="85"/>
      <c r="PGX38" s="85"/>
      <c r="PGY38" s="85"/>
      <c r="PGZ38" s="85"/>
      <c r="PHA38" s="85"/>
      <c r="PHB38" s="85"/>
      <c r="PHC38" s="85"/>
      <c r="PHD38" s="85"/>
      <c r="PHE38" s="85"/>
      <c r="PHF38" s="85"/>
      <c r="PHG38" s="85"/>
      <c r="PHH38" s="85"/>
      <c r="PHI38" s="85"/>
      <c r="PHJ38" s="85"/>
      <c r="PHK38" s="85"/>
      <c r="PHL38" s="85"/>
      <c r="PHM38" s="85"/>
      <c r="PHN38" s="85"/>
      <c r="PHO38" s="85"/>
      <c r="PHP38" s="85"/>
      <c r="PHQ38" s="85"/>
      <c r="PHR38" s="85"/>
      <c r="PHS38" s="85"/>
      <c r="PHT38" s="85"/>
      <c r="PHU38" s="85"/>
      <c r="PHV38" s="85"/>
      <c r="PHW38" s="85"/>
      <c r="PHX38" s="85"/>
      <c r="PHY38" s="85"/>
      <c r="PHZ38" s="85"/>
      <c r="PIA38" s="85"/>
      <c r="PIB38" s="85"/>
      <c r="PIC38" s="85"/>
      <c r="PID38" s="85"/>
      <c r="PIE38" s="85"/>
      <c r="PIF38" s="85"/>
      <c r="PIG38" s="85"/>
      <c r="PIH38" s="85"/>
      <c r="PII38" s="85"/>
      <c r="PIJ38" s="85"/>
      <c r="PIK38" s="85"/>
      <c r="PIL38" s="85"/>
      <c r="PIM38" s="85"/>
      <c r="PIN38" s="85"/>
      <c r="PIO38" s="85"/>
      <c r="PIP38" s="85"/>
      <c r="PIQ38" s="85"/>
      <c r="PIR38" s="85"/>
      <c r="PIS38" s="85"/>
      <c r="PIT38" s="85"/>
      <c r="PIU38" s="85"/>
      <c r="PIV38" s="85"/>
      <c r="PIW38" s="85"/>
      <c r="PIX38" s="85"/>
      <c r="PIY38" s="85"/>
      <c r="PIZ38" s="85"/>
      <c r="PJA38" s="85"/>
      <c r="PJB38" s="85"/>
      <c r="PJC38" s="85"/>
      <c r="PJD38" s="85"/>
      <c r="PJE38" s="85"/>
      <c r="PJF38" s="85"/>
      <c r="PJG38" s="85"/>
      <c r="PJH38" s="85"/>
      <c r="PJI38" s="85"/>
      <c r="PJJ38" s="85"/>
      <c r="PJK38" s="85"/>
      <c r="PJL38" s="85"/>
      <c r="PJM38" s="85"/>
      <c r="PJN38" s="85"/>
      <c r="PJO38" s="85"/>
      <c r="PJP38" s="85"/>
      <c r="PJQ38" s="85"/>
      <c r="PJR38" s="85"/>
      <c r="PJS38" s="85"/>
      <c r="PJT38" s="85"/>
      <c r="PJU38" s="85"/>
      <c r="PJV38" s="85"/>
      <c r="PJW38" s="85"/>
      <c r="PJX38" s="85"/>
      <c r="PJY38" s="85"/>
      <c r="PJZ38" s="85"/>
      <c r="PKA38" s="85"/>
      <c r="PKB38" s="85"/>
      <c r="PKC38" s="85"/>
      <c r="PKD38" s="85"/>
      <c r="PKE38" s="85"/>
      <c r="PKF38" s="85"/>
      <c r="PKG38" s="85"/>
      <c r="PKH38" s="85"/>
      <c r="PKI38" s="85"/>
      <c r="PKJ38" s="85"/>
      <c r="PKK38" s="85"/>
      <c r="PKL38" s="85"/>
      <c r="PKM38" s="85"/>
      <c r="PKN38" s="85"/>
      <c r="PKO38" s="85"/>
      <c r="PKP38" s="85"/>
      <c r="PKQ38" s="85"/>
      <c r="PKR38" s="85"/>
      <c r="PKS38" s="85"/>
      <c r="PKT38" s="85"/>
      <c r="PKU38" s="85"/>
      <c r="PKV38" s="85"/>
      <c r="PKW38" s="85"/>
      <c r="PKX38" s="85"/>
      <c r="PKY38" s="85"/>
      <c r="PKZ38" s="85"/>
      <c r="PLA38" s="85"/>
      <c r="PLB38" s="85"/>
      <c r="PLC38" s="85"/>
      <c r="PLD38" s="85"/>
      <c r="PLE38" s="85"/>
      <c r="PLF38" s="85"/>
      <c r="PLG38" s="85"/>
      <c r="PLH38" s="85"/>
      <c r="PLI38" s="85"/>
      <c r="PLJ38" s="85"/>
      <c r="PLK38" s="85"/>
      <c r="PLL38" s="85"/>
      <c r="PLM38" s="85"/>
      <c r="PLN38" s="85"/>
      <c r="PLO38" s="85"/>
      <c r="PLP38" s="85"/>
      <c r="PLQ38" s="85"/>
      <c r="PLR38" s="85"/>
      <c r="PLS38" s="85"/>
      <c r="PLT38" s="85"/>
      <c r="PLU38" s="85"/>
      <c r="PLV38" s="85"/>
      <c r="PLW38" s="85"/>
      <c r="PLX38" s="85"/>
      <c r="PLY38" s="85"/>
      <c r="PLZ38" s="85"/>
      <c r="PMA38" s="85"/>
      <c r="PMB38" s="85"/>
      <c r="PMC38" s="85"/>
      <c r="PMD38" s="85"/>
      <c r="PME38" s="85"/>
      <c r="PMF38" s="85"/>
      <c r="PMG38" s="85"/>
      <c r="PMH38" s="85"/>
      <c r="PMI38" s="85"/>
      <c r="PMJ38" s="85"/>
      <c r="PMK38" s="85"/>
      <c r="PML38" s="85"/>
      <c r="PMM38" s="85"/>
      <c r="PMN38" s="85"/>
      <c r="PMO38" s="85"/>
      <c r="PMP38" s="85"/>
      <c r="PMQ38" s="85"/>
      <c r="PMR38" s="85"/>
      <c r="PMS38" s="85"/>
      <c r="PMT38" s="85"/>
      <c r="PMU38" s="85"/>
      <c r="PMV38" s="85"/>
      <c r="PMW38" s="85"/>
      <c r="PMX38" s="85"/>
      <c r="PMY38" s="85"/>
      <c r="PMZ38" s="85"/>
      <c r="PNA38" s="85"/>
      <c r="PNB38" s="85"/>
      <c r="PNC38" s="85"/>
      <c r="PND38" s="85"/>
      <c r="PNE38" s="85"/>
      <c r="PNF38" s="85"/>
      <c r="PNG38" s="85"/>
      <c r="PNH38" s="85"/>
      <c r="PNI38" s="85"/>
      <c r="PNJ38" s="85"/>
      <c r="PNK38" s="85"/>
      <c r="PNL38" s="85"/>
      <c r="PNM38" s="85"/>
      <c r="PNN38" s="85"/>
      <c r="PNO38" s="85"/>
      <c r="PNP38" s="85"/>
      <c r="PNQ38" s="85"/>
      <c r="PNR38" s="85"/>
      <c r="PNS38" s="85"/>
      <c r="PNT38" s="85"/>
      <c r="PNU38" s="85"/>
      <c r="PNV38" s="85"/>
      <c r="PNW38" s="85"/>
      <c r="PNX38" s="85"/>
      <c r="PNY38" s="85"/>
      <c r="PNZ38" s="85"/>
      <c r="POA38" s="85"/>
      <c r="POB38" s="85"/>
      <c r="POC38" s="85"/>
      <c r="POD38" s="85"/>
      <c r="POE38" s="85"/>
      <c r="POF38" s="85"/>
      <c r="POG38" s="85"/>
      <c r="POH38" s="85"/>
      <c r="POI38" s="85"/>
      <c r="POJ38" s="85"/>
      <c r="POK38" s="85"/>
      <c r="POL38" s="85"/>
      <c r="POM38" s="85"/>
      <c r="PON38" s="85"/>
      <c r="POO38" s="85"/>
      <c r="POP38" s="85"/>
      <c r="POQ38" s="85"/>
      <c r="POR38" s="85"/>
      <c r="POS38" s="85"/>
      <c r="POT38" s="85"/>
      <c r="POU38" s="85"/>
      <c r="POV38" s="85"/>
      <c r="POW38" s="85"/>
      <c r="POX38" s="85"/>
      <c r="POY38" s="85"/>
      <c r="POZ38" s="85"/>
      <c r="PPA38" s="85"/>
      <c r="PPB38" s="85"/>
      <c r="PPC38" s="85"/>
      <c r="PPD38" s="85"/>
      <c r="PPE38" s="85"/>
      <c r="PPF38" s="85"/>
      <c r="PPG38" s="85"/>
      <c r="PPH38" s="85"/>
      <c r="PPI38" s="85"/>
      <c r="PPJ38" s="85"/>
      <c r="PPK38" s="85"/>
      <c r="PPL38" s="85"/>
      <c r="PPM38" s="85"/>
      <c r="PPN38" s="85"/>
      <c r="PPO38" s="85"/>
      <c r="PPP38" s="85"/>
      <c r="PPQ38" s="85"/>
      <c r="PPR38" s="85"/>
      <c r="PPS38" s="85"/>
      <c r="PPT38" s="85"/>
      <c r="PPU38" s="85"/>
      <c r="PPV38" s="85"/>
      <c r="PPW38" s="85"/>
      <c r="PPX38" s="85"/>
      <c r="PPY38" s="85"/>
      <c r="PPZ38" s="85"/>
      <c r="PQA38" s="85"/>
      <c r="PQB38" s="85"/>
      <c r="PQC38" s="85"/>
      <c r="PQD38" s="85"/>
      <c r="PQE38" s="85"/>
      <c r="PQF38" s="85"/>
      <c r="PQG38" s="85"/>
      <c r="PQH38" s="85"/>
      <c r="PQI38" s="85"/>
      <c r="PQJ38" s="85"/>
      <c r="PQK38" s="85"/>
      <c r="PQL38" s="85"/>
      <c r="PQM38" s="85"/>
      <c r="PQN38" s="85"/>
      <c r="PQO38" s="85"/>
      <c r="PQP38" s="85"/>
      <c r="PQQ38" s="85"/>
      <c r="PQR38" s="85"/>
      <c r="PQS38" s="85"/>
      <c r="PQT38" s="85"/>
      <c r="PQU38" s="85"/>
      <c r="PQV38" s="85"/>
      <c r="PQW38" s="85"/>
      <c r="PQX38" s="85"/>
      <c r="PQY38" s="85"/>
      <c r="PQZ38" s="85"/>
      <c r="PRA38" s="85"/>
      <c r="PRB38" s="85"/>
      <c r="PRC38" s="85"/>
      <c r="PRD38" s="85"/>
      <c r="PRE38" s="85"/>
      <c r="PRF38" s="85"/>
      <c r="PRG38" s="85"/>
      <c r="PRH38" s="85"/>
      <c r="PRI38" s="85"/>
      <c r="PRJ38" s="85"/>
      <c r="PRK38" s="85"/>
      <c r="PRL38" s="85"/>
      <c r="PRM38" s="85"/>
      <c r="PRN38" s="85"/>
      <c r="PRO38" s="85"/>
      <c r="PRP38" s="85"/>
      <c r="PRQ38" s="85"/>
      <c r="PRR38" s="85"/>
      <c r="PRS38" s="85"/>
      <c r="PRT38" s="85"/>
      <c r="PRU38" s="85"/>
      <c r="PRV38" s="85"/>
      <c r="PRW38" s="85"/>
      <c r="PRX38" s="85"/>
      <c r="PRY38" s="85"/>
      <c r="PRZ38" s="85"/>
      <c r="PSA38" s="85"/>
      <c r="PSB38" s="85"/>
      <c r="PSC38" s="85"/>
      <c r="PSD38" s="85"/>
      <c r="PSE38" s="85"/>
      <c r="PSF38" s="85"/>
      <c r="PSG38" s="85"/>
      <c r="PSH38" s="85"/>
      <c r="PSI38" s="85"/>
      <c r="PSJ38" s="85"/>
      <c r="PSK38" s="85"/>
      <c r="PSL38" s="85"/>
      <c r="PSM38" s="85"/>
      <c r="PSN38" s="85"/>
      <c r="PSO38" s="85"/>
      <c r="PSP38" s="85"/>
      <c r="PSQ38" s="85"/>
      <c r="PSR38" s="85"/>
      <c r="PSS38" s="85"/>
      <c r="PST38" s="85"/>
      <c r="PSU38" s="85"/>
      <c r="PSV38" s="85"/>
      <c r="PSW38" s="85"/>
      <c r="PSX38" s="85"/>
      <c r="PSY38" s="85"/>
      <c r="PSZ38" s="85"/>
      <c r="PTA38" s="85"/>
      <c r="PTB38" s="85"/>
      <c r="PTC38" s="85"/>
      <c r="PTD38" s="85"/>
      <c r="PTE38" s="85"/>
      <c r="PTF38" s="85"/>
      <c r="PTG38" s="85"/>
      <c r="PTH38" s="85"/>
      <c r="PTI38" s="85"/>
      <c r="PTJ38" s="85"/>
      <c r="PTK38" s="85"/>
      <c r="PTL38" s="85"/>
      <c r="PTM38" s="85"/>
      <c r="PTN38" s="85"/>
      <c r="PTO38" s="85"/>
      <c r="PTP38" s="85"/>
      <c r="PTQ38" s="85"/>
      <c r="PTR38" s="85"/>
      <c r="PTS38" s="85"/>
      <c r="PTT38" s="85"/>
      <c r="PTU38" s="85"/>
      <c r="PTV38" s="85"/>
      <c r="PTW38" s="85"/>
      <c r="PTX38" s="85"/>
      <c r="PTY38" s="85"/>
      <c r="PTZ38" s="85"/>
      <c r="PUA38" s="85"/>
      <c r="PUB38" s="85"/>
      <c r="PUC38" s="85"/>
      <c r="PUD38" s="85"/>
      <c r="PUE38" s="85"/>
      <c r="PUF38" s="85"/>
      <c r="PUG38" s="85"/>
      <c r="PUH38" s="85"/>
      <c r="PUI38" s="85"/>
      <c r="PUJ38" s="85"/>
      <c r="PUK38" s="85"/>
      <c r="PUL38" s="85"/>
      <c r="PUM38" s="85"/>
      <c r="PUN38" s="85"/>
      <c r="PUO38" s="85"/>
      <c r="PUP38" s="85"/>
      <c r="PUQ38" s="85"/>
      <c r="PUR38" s="85"/>
      <c r="PUS38" s="85"/>
      <c r="PUT38" s="85"/>
      <c r="PUU38" s="85"/>
      <c r="PUV38" s="85"/>
      <c r="PUW38" s="85"/>
      <c r="PUX38" s="85"/>
      <c r="PUY38" s="85"/>
      <c r="PUZ38" s="85"/>
      <c r="PVA38" s="85"/>
      <c r="PVB38" s="85"/>
      <c r="PVC38" s="85"/>
      <c r="PVD38" s="85"/>
      <c r="PVE38" s="85"/>
      <c r="PVF38" s="85"/>
      <c r="PVG38" s="85"/>
      <c r="PVH38" s="85"/>
      <c r="PVI38" s="85"/>
      <c r="PVJ38" s="85"/>
      <c r="PVK38" s="85"/>
      <c r="PVL38" s="85"/>
      <c r="PVM38" s="85"/>
      <c r="PVN38" s="85"/>
      <c r="PVO38" s="85"/>
      <c r="PVP38" s="85"/>
      <c r="PVQ38" s="85"/>
      <c r="PVR38" s="85"/>
      <c r="PVS38" s="85"/>
      <c r="PVT38" s="85"/>
      <c r="PVU38" s="85"/>
      <c r="PVV38" s="85"/>
      <c r="PVW38" s="85"/>
      <c r="PVX38" s="85"/>
      <c r="PVY38" s="85"/>
      <c r="PVZ38" s="85"/>
      <c r="PWA38" s="85"/>
      <c r="PWB38" s="85"/>
      <c r="PWC38" s="85"/>
      <c r="PWD38" s="85"/>
      <c r="PWE38" s="85"/>
      <c r="PWF38" s="85"/>
      <c r="PWG38" s="85"/>
      <c r="PWH38" s="85"/>
      <c r="PWI38" s="85"/>
      <c r="PWJ38" s="85"/>
      <c r="PWK38" s="85"/>
      <c r="PWL38" s="85"/>
      <c r="PWM38" s="85"/>
      <c r="PWN38" s="85"/>
      <c r="PWO38" s="85"/>
      <c r="PWP38" s="85"/>
      <c r="PWQ38" s="85"/>
      <c r="PWR38" s="85"/>
      <c r="PWS38" s="85"/>
      <c r="PWT38" s="85"/>
      <c r="PWU38" s="85"/>
      <c r="PWV38" s="85"/>
      <c r="PWW38" s="85"/>
      <c r="PWX38" s="85"/>
      <c r="PWY38" s="85"/>
      <c r="PWZ38" s="85"/>
      <c r="PXA38" s="85"/>
      <c r="PXB38" s="85"/>
      <c r="PXC38" s="85"/>
      <c r="PXD38" s="85"/>
      <c r="PXE38" s="85"/>
      <c r="PXF38" s="85"/>
      <c r="PXG38" s="85"/>
      <c r="PXH38" s="85"/>
      <c r="PXI38" s="85"/>
      <c r="PXJ38" s="85"/>
      <c r="PXK38" s="85"/>
      <c r="PXL38" s="85"/>
      <c r="PXM38" s="85"/>
      <c r="PXN38" s="85"/>
      <c r="PXO38" s="85"/>
      <c r="PXP38" s="85"/>
      <c r="PXQ38" s="85"/>
      <c r="PXR38" s="85"/>
      <c r="PXS38" s="85"/>
      <c r="PXT38" s="85"/>
      <c r="PXU38" s="85"/>
      <c r="PXV38" s="85"/>
      <c r="PXW38" s="85"/>
      <c r="PXX38" s="85"/>
      <c r="PXY38" s="85"/>
      <c r="PXZ38" s="85"/>
      <c r="PYA38" s="85"/>
      <c r="PYB38" s="85"/>
      <c r="PYC38" s="85"/>
      <c r="PYD38" s="85"/>
      <c r="PYE38" s="85"/>
      <c r="PYF38" s="85"/>
      <c r="PYG38" s="85"/>
      <c r="PYH38" s="85"/>
      <c r="PYI38" s="85"/>
      <c r="PYJ38" s="85"/>
      <c r="PYK38" s="85"/>
      <c r="PYL38" s="85"/>
      <c r="PYM38" s="85"/>
      <c r="PYN38" s="85"/>
      <c r="PYO38" s="85"/>
      <c r="PYP38" s="85"/>
      <c r="PYQ38" s="85"/>
      <c r="PYR38" s="85"/>
      <c r="PYS38" s="85"/>
      <c r="PYT38" s="85"/>
      <c r="PYU38" s="85"/>
      <c r="PYV38" s="85"/>
      <c r="PYW38" s="85"/>
      <c r="PYX38" s="85"/>
      <c r="PYY38" s="85"/>
      <c r="PYZ38" s="85"/>
      <c r="PZA38" s="85"/>
      <c r="PZB38" s="85"/>
      <c r="PZC38" s="85"/>
      <c r="PZD38" s="85"/>
      <c r="PZE38" s="85"/>
      <c r="PZF38" s="85"/>
      <c r="PZG38" s="85"/>
      <c r="PZH38" s="85"/>
      <c r="PZI38" s="85"/>
      <c r="PZJ38" s="85"/>
      <c r="PZK38" s="85"/>
      <c r="PZL38" s="85"/>
      <c r="PZM38" s="85"/>
      <c r="PZN38" s="85"/>
      <c r="PZO38" s="85"/>
      <c r="PZP38" s="85"/>
      <c r="PZQ38" s="85"/>
      <c r="PZR38" s="85"/>
      <c r="PZS38" s="85"/>
      <c r="PZT38" s="85"/>
      <c r="PZU38" s="85"/>
      <c r="PZV38" s="85"/>
      <c r="PZW38" s="85"/>
      <c r="PZX38" s="85"/>
      <c r="PZY38" s="85"/>
      <c r="PZZ38" s="85"/>
      <c r="QAA38" s="85"/>
      <c r="QAB38" s="85"/>
      <c r="QAC38" s="85"/>
      <c r="QAD38" s="85"/>
      <c r="QAE38" s="85"/>
      <c r="QAF38" s="85"/>
      <c r="QAG38" s="85"/>
      <c r="QAH38" s="85"/>
      <c r="QAI38" s="85"/>
      <c r="QAJ38" s="85"/>
      <c r="QAK38" s="85"/>
      <c r="QAL38" s="85"/>
      <c r="QAM38" s="85"/>
      <c r="QAN38" s="85"/>
      <c r="QAO38" s="85"/>
      <c r="QAP38" s="85"/>
      <c r="QAQ38" s="85"/>
      <c r="QAR38" s="85"/>
      <c r="QAS38" s="85"/>
      <c r="QAT38" s="85"/>
      <c r="QAU38" s="85"/>
      <c r="QAV38" s="85"/>
      <c r="QAW38" s="85"/>
      <c r="QAX38" s="85"/>
      <c r="QAY38" s="85"/>
      <c r="QAZ38" s="85"/>
      <c r="QBA38" s="85"/>
      <c r="QBB38" s="85"/>
      <c r="QBC38" s="85"/>
      <c r="QBD38" s="85"/>
      <c r="QBE38" s="85"/>
      <c r="QBF38" s="85"/>
      <c r="QBG38" s="85"/>
      <c r="QBH38" s="85"/>
      <c r="QBI38" s="85"/>
      <c r="QBJ38" s="85"/>
      <c r="QBK38" s="85"/>
      <c r="QBL38" s="85"/>
      <c r="QBM38" s="85"/>
      <c r="QBN38" s="85"/>
      <c r="QBO38" s="85"/>
      <c r="QBP38" s="85"/>
      <c r="QBQ38" s="85"/>
      <c r="QBR38" s="85"/>
      <c r="QBS38" s="85"/>
      <c r="QBT38" s="85"/>
      <c r="QBU38" s="85"/>
      <c r="QBV38" s="85"/>
      <c r="QBW38" s="85"/>
      <c r="QBX38" s="85"/>
      <c r="QBY38" s="85"/>
      <c r="QBZ38" s="85"/>
      <c r="QCA38" s="85"/>
      <c r="QCB38" s="85"/>
      <c r="QCC38" s="85"/>
      <c r="QCD38" s="85"/>
      <c r="QCE38" s="85"/>
      <c r="QCF38" s="85"/>
      <c r="QCG38" s="85"/>
      <c r="QCH38" s="85"/>
      <c r="QCI38" s="85"/>
      <c r="QCJ38" s="85"/>
      <c r="QCK38" s="85"/>
      <c r="QCL38" s="85"/>
      <c r="QCM38" s="85"/>
      <c r="QCN38" s="85"/>
      <c r="QCO38" s="85"/>
      <c r="QCP38" s="85"/>
      <c r="QCQ38" s="85"/>
      <c r="QCR38" s="85"/>
      <c r="QCS38" s="85"/>
      <c r="QCT38" s="85"/>
      <c r="QCU38" s="85"/>
      <c r="QCV38" s="85"/>
      <c r="QCW38" s="85"/>
      <c r="QCX38" s="85"/>
      <c r="QCY38" s="85"/>
      <c r="QCZ38" s="85"/>
      <c r="QDA38" s="85"/>
      <c r="QDB38" s="85"/>
      <c r="QDC38" s="85"/>
      <c r="QDD38" s="85"/>
      <c r="QDE38" s="85"/>
      <c r="QDF38" s="85"/>
      <c r="QDG38" s="85"/>
      <c r="QDH38" s="85"/>
      <c r="QDI38" s="85"/>
      <c r="QDJ38" s="85"/>
      <c r="QDK38" s="85"/>
      <c r="QDL38" s="85"/>
      <c r="QDM38" s="85"/>
      <c r="QDN38" s="85"/>
      <c r="QDO38" s="85"/>
      <c r="QDP38" s="85"/>
      <c r="QDQ38" s="85"/>
      <c r="QDR38" s="85"/>
      <c r="QDS38" s="85"/>
      <c r="QDT38" s="85"/>
      <c r="QDU38" s="85"/>
      <c r="QDV38" s="85"/>
      <c r="QDW38" s="85"/>
      <c r="QDX38" s="85"/>
      <c r="QDY38" s="85"/>
      <c r="QDZ38" s="85"/>
      <c r="QEA38" s="85"/>
      <c r="QEB38" s="85"/>
      <c r="QEC38" s="85"/>
      <c r="QED38" s="85"/>
      <c r="QEE38" s="85"/>
      <c r="QEF38" s="85"/>
      <c r="QEG38" s="85"/>
      <c r="QEH38" s="85"/>
      <c r="QEI38" s="85"/>
      <c r="QEJ38" s="85"/>
      <c r="QEK38" s="85"/>
      <c r="QEL38" s="85"/>
      <c r="QEM38" s="85"/>
      <c r="QEN38" s="85"/>
      <c r="QEO38" s="85"/>
      <c r="QEP38" s="85"/>
      <c r="QEQ38" s="85"/>
      <c r="QER38" s="85"/>
      <c r="QES38" s="85"/>
      <c r="QET38" s="85"/>
      <c r="QEU38" s="85"/>
      <c r="QEV38" s="85"/>
      <c r="QEW38" s="85"/>
      <c r="QEX38" s="85"/>
      <c r="QEY38" s="85"/>
      <c r="QEZ38" s="85"/>
      <c r="QFA38" s="85"/>
      <c r="QFB38" s="85"/>
      <c r="QFC38" s="85"/>
      <c r="QFD38" s="85"/>
      <c r="QFE38" s="85"/>
      <c r="QFF38" s="85"/>
      <c r="QFG38" s="85"/>
      <c r="QFH38" s="85"/>
      <c r="QFI38" s="85"/>
      <c r="QFJ38" s="85"/>
      <c r="QFK38" s="85"/>
      <c r="QFL38" s="85"/>
      <c r="QFM38" s="85"/>
      <c r="QFN38" s="85"/>
      <c r="QFO38" s="85"/>
      <c r="QFP38" s="85"/>
      <c r="QFQ38" s="85"/>
      <c r="QFR38" s="85"/>
      <c r="QFS38" s="85"/>
      <c r="QFT38" s="85"/>
      <c r="QFU38" s="85"/>
      <c r="QFV38" s="85"/>
      <c r="QFW38" s="85"/>
      <c r="QFX38" s="85"/>
      <c r="QFY38" s="85"/>
      <c r="QFZ38" s="85"/>
      <c r="QGA38" s="85"/>
      <c r="QGB38" s="85"/>
      <c r="QGC38" s="85"/>
      <c r="QGD38" s="85"/>
      <c r="QGE38" s="85"/>
      <c r="QGF38" s="85"/>
      <c r="QGG38" s="85"/>
      <c r="QGH38" s="85"/>
      <c r="QGI38" s="85"/>
      <c r="QGJ38" s="85"/>
      <c r="QGK38" s="85"/>
      <c r="QGL38" s="85"/>
      <c r="QGM38" s="85"/>
      <c r="QGN38" s="85"/>
      <c r="QGO38" s="85"/>
      <c r="QGP38" s="85"/>
      <c r="QGQ38" s="85"/>
      <c r="QGR38" s="85"/>
      <c r="QGS38" s="85"/>
      <c r="QGT38" s="85"/>
      <c r="QGU38" s="85"/>
      <c r="QGV38" s="85"/>
      <c r="QGW38" s="85"/>
      <c r="QGX38" s="85"/>
      <c r="QGY38" s="85"/>
      <c r="QGZ38" s="85"/>
      <c r="QHA38" s="85"/>
      <c r="QHB38" s="85"/>
      <c r="QHC38" s="85"/>
      <c r="QHD38" s="85"/>
      <c r="QHE38" s="85"/>
      <c r="QHF38" s="85"/>
      <c r="QHG38" s="85"/>
      <c r="QHH38" s="85"/>
      <c r="QHI38" s="85"/>
      <c r="QHJ38" s="85"/>
      <c r="QHK38" s="85"/>
      <c r="QHL38" s="85"/>
      <c r="QHM38" s="85"/>
      <c r="QHN38" s="85"/>
      <c r="QHO38" s="85"/>
      <c r="QHP38" s="85"/>
      <c r="QHQ38" s="85"/>
      <c r="QHR38" s="85"/>
      <c r="QHS38" s="85"/>
      <c r="QHT38" s="85"/>
      <c r="QHU38" s="85"/>
      <c r="QHV38" s="85"/>
      <c r="QHW38" s="85"/>
      <c r="QHX38" s="85"/>
      <c r="QHY38" s="85"/>
      <c r="QHZ38" s="85"/>
      <c r="QIA38" s="85"/>
      <c r="QIB38" s="85"/>
      <c r="QIC38" s="85"/>
      <c r="QID38" s="85"/>
      <c r="QIE38" s="85"/>
      <c r="QIF38" s="85"/>
      <c r="QIG38" s="85"/>
      <c r="QIH38" s="85"/>
      <c r="QII38" s="85"/>
      <c r="QIJ38" s="85"/>
      <c r="QIK38" s="85"/>
      <c r="QIL38" s="85"/>
      <c r="QIM38" s="85"/>
      <c r="QIN38" s="85"/>
      <c r="QIO38" s="85"/>
      <c r="QIP38" s="85"/>
      <c r="QIQ38" s="85"/>
      <c r="QIR38" s="85"/>
      <c r="QIS38" s="85"/>
      <c r="QIT38" s="85"/>
      <c r="QIU38" s="85"/>
      <c r="QIV38" s="85"/>
      <c r="QIW38" s="85"/>
      <c r="QIX38" s="85"/>
      <c r="QIY38" s="85"/>
      <c r="QIZ38" s="85"/>
      <c r="QJA38" s="85"/>
      <c r="QJB38" s="85"/>
      <c r="QJC38" s="85"/>
      <c r="QJD38" s="85"/>
      <c r="QJE38" s="85"/>
      <c r="QJF38" s="85"/>
      <c r="QJG38" s="85"/>
      <c r="QJH38" s="85"/>
      <c r="QJI38" s="85"/>
      <c r="QJJ38" s="85"/>
      <c r="QJK38" s="85"/>
      <c r="QJL38" s="85"/>
      <c r="QJM38" s="85"/>
      <c r="QJN38" s="85"/>
      <c r="QJO38" s="85"/>
      <c r="QJP38" s="85"/>
      <c r="QJQ38" s="85"/>
      <c r="QJR38" s="85"/>
      <c r="QJS38" s="85"/>
      <c r="QJT38" s="85"/>
      <c r="QJU38" s="85"/>
      <c r="QJV38" s="85"/>
      <c r="QJW38" s="85"/>
      <c r="QJX38" s="85"/>
      <c r="QJY38" s="85"/>
      <c r="QJZ38" s="85"/>
      <c r="QKA38" s="85"/>
      <c r="QKB38" s="85"/>
      <c r="QKC38" s="85"/>
      <c r="QKD38" s="85"/>
      <c r="QKE38" s="85"/>
      <c r="QKF38" s="85"/>
      <c r="QKG38" s="85"/>
      <c r="QKH38" s="85"/>
      <c r="QKI38" s="85"/>
      <c r="QKJ38" s="85"/>
      <c r="QKK38" s="85"/>
      <c r="QKL38" s="85"/>
      <c r="QKM38" s="85"/>
      <c r="QKN38" s="85"/>
      <c r="QKO38" s="85"/>
      <c r="QKP38" s="85"/>
      <c r="QKQ38" s="85"/>
      <c r="QKR38" s="85"/>
      <c r="QKS38" s="85"/>
      <c r="QKT38" s="85"/>
      <c r="QKU38" s="85"/>
      <c r="QKV38" s="85"/>
      <c r="QKW38" s="85"/>
      <c r="QKX38" s="85"/>
      <c r="QKY38" s="85"/>
      <c r="QKZ38" s="85"/>
      <c r="QLA38" s="85"/>
      <c r="QLB38" s="85"/>
      <c r="QLC38" s="85"/>
      <c r="QLD38" s="85"/>
      <c r="QLE38" s="85"/>
      <c r="QLF38" s="85"/>
      <c r="QLG38" s="85"/>
      <c r="QLH38" s="85"/>
      <c r="QLI38" s="85"/>
      <c r="QLJ38" s="85"/>
      <c r="QLK38" s="85"/>
      <c r="QLL38" s="85"/>
      <c r="QLM38" s="85"/>
      <c r="QLN38" s="85"/>
      <c r="QLO38" s="85"/>
      <c r="QLP38" s="85"/>
      <c r="QLQ38" s="85"/>
      <c r="QLR38" s="85"/>
      <c r="QLS38" s="85"/>
      <c r="QLT38" s="85"/>
      <c r="QLU38" s="85"/>
      <c r="QLV38" s="85"/>
      <c r="QLW38" s="85"/>
      <c r="QLX38" s="85"/>
      <c r="QLY38" s="85"/>
      <c r="QLZ38" s="85"/>
      <c r="QMA38" s="85"/>
      <c r="QMB38" s="85"/>
      <c r="QMC38" s="85"/>
      <c r="QMD38" s="85"/>
      <c r="QME38" s="85"/>
      <c r="QMF38" s="85"/>
      <c r="QMG38" s="85"/>
      <c r="QMH38" s="85"/>
      <c r="QMI38" s="85"/>
      <c r="QMJ38" s="85"/>
      <c r="QMK38" s="85"/>
      <c r="QML38" s="85"/>
      <c r="QMM38" s="85"/>
      <c r="QMN38" s="85"/>
      <c r="QMO38" s="85"/>
      <c r="QMP38" s="85"/>
      <c r="QMQ38" s="85"/>
      <c r="QMR38" s="85"/>
      <c r="QMS38" s="85"/>
      <c r="QMT38" s="85"/>
      <c r="QMU38" s="85"/>
      <c r="QMV38" s="85"/>
      <c r="QMW38" s="85"/>
      <c r="QMX38" s="85"/>
      <c r="QMY38" s="85"/>
      <c r="QMZ38" s="85"/>
      <c r="QNA38" s="85"/>
      <c r="QNB38" s="85"/>
      <c r="QNC38" s="85"/>
      <c r="QND38" s="85"/>
      <c r="QNE38" s="85"/>
      <c r="QNF38" s="85"/>
      <c r="QNG38" s="85"/>
      <c r="QNH38" s="85"/>
      <c r="QNI38" s="85"/>
      <c r="QNJ38" s="85"/>
      <c r="QNK38" s="85"/>
      <c r="QNL38" s="85"/>
      <c r="QNM38" s="85"/>
      <c r="QNN38" s="85"/>
      <c r="QNO38" s="85"/>
      <c r="QNP38" s="85"/>
      <c r="QNQ38" s="85"/>
      <c r="QNR38" s="85"/>
      <c r="QNS38" s="85"/>
      <c r="QNT38" s="85"/>
      <c r="QNU38" s="85"/>
      <c r="QNV38" s="85"/>
      <c r="QNW38" s="85"/>
      <c r="QNX38" s="85"/>
      <c r="QNY38" s="85"/>
      <c r="QNZ38" s="85"/>
      <c r="QOA38" s="85"/>
      <c r="QOB38" s="85"/>
      <c r="QOC38" s="85"/>
      <c r="QOD38" s="85"/>
      <c r="QOE38" s="85"/>
      <c r="QOF38" s="85"/>
      <c r="QOG38" s="85"/>
      <c r="QOH38" s="85"/>
      <c r="QOI38" s="85"/>
      <c r="QOJ38" s="85"/>
      <c r="QOK38" s="85"/>
      <c r="QOL38" s="85"/>
      <c r="QOM38" s="85"/>
      <c r="QON38" s="85"/>
      <c r="QOO38" s="85"/>
      <c r="QOP38" s="85"/>
      <c r="QOQ38" s="85"/>
      <c r="QOR38" s="85"/>
      <c r="QOS38" s="85"/>
      <c r="QOT38" s="85"/>
      <c r="QOU38" s="85"/>
      <c r="QOV38" s="85"/>
      <c r="QOW38" s="85"/>
      <c r="QOX38" s="85"/>
      <c r="QOY38" s="85"/>
      <c r="QOZ38" s="85"/>
      <c r="QPA38" s="85"/>
      <c r="QPB38" s="85"/>
      <c r="QPC38" s="85"/>
      <c r="QPD38" s="85"/>
      <c r="QPE38" s="85"/>
      <c r="QPF38" s="85"/>
      <c r="QPG38" s="85"/>
      <c r="QPH38" s="85"/>
      <c r="QPI38" s="85"/>
      <c r="QPJ38" s="85"/>
      <c r="QPK38" s="85"/>
      <c r="QPL38" s="85"/>
      <c r="QPM38" s="85"/>
      <c r="QPN38" s="85"/>
      <c r="QPO38" s="85"/>
      <c r="QPP38" s="85"/>
      <c r="QPQ38" s="85"/>
      <c r="QPR38" s="85"/>
      <c r="QPS38" s="85"/>
      <c r="QPT38" s="85"/>
      <c r="QPU38" s="85"/>
      <c r="QPV38" s="85"/>
      <c r="QPW38" s="85"/>
      <c r="QPX38" s="85"/>
      <c r="QPY38" s="85"/>
      <c r="QPZ38" s="85"/>
      <c r="QQA38" s="85"/>
      <c r="QQB38" s="85"/>
      <c r="QQC38" s="85"/>
      <c r="QQD38" s="85"/>
      <c r="QQE38" s="85"/>
      <c r="QQF38" s="85"/>
      <c r="QQG38" s="85"/>
      <c r="QQH38" s="85"/>
      <c r="QQI38" s="85"/>
      <c r="QQJ38" s="85"/>
      <c r="QQK38" s="85"/>
      <c r="QQL38" s="85"/>
      <c r="QQM38" s="85"/>
      <c r="QQN38" s="85"/>
      <c r="QQO38" s="85"/>
      <c r="QQP38" s="85"/>
      <c r="QQQ38" s="85"/>
      <c r="QQR38" s="85"/>
      <c r="QQS38" s="85"/>
      <c r="QQT38" s="85"/>
      <c r="QQU38" s="85"/>
      <c r="QQV38" s="85"/>
      <c r="QQW38" s="85"/>
      <c r="QQX38" s="85"/>
      <c r="QQY38" s="85"/>
      <c r="QQZ38" s="85"/>
      <c r="QRA38" s="85"/>
      <c r="QRB38" s="85"/>
      <c r="QRC38" s="85"/>
      <c r="QRD38" s="85"/>
      <c r="QRE38" s="85"/>
      <c r="QRF38" s="85"/>
      <c r="QRG38" s="85"/>
      <c r="QRH38" s="85"/>
      <c r="QRI38" s="85"/>
      <c r="QRJ38" s="85"/>
      <c r="QRK38" s="85"/>
      <c r="QRL38" s="85"/>
      <c r="QRM38" s="85"/>
      <c r="QRN38" s="85"/>
      <c r="QRO38" s="85"/>
      <c r="QRP38" s="85"/>
      <c r="QRQ38" s="85"/>
      <c r="QRR38" s="85"/>
      <c r="QRS38" s="85"/>
      <c r="QRT38" s="85"/>
      <c r="QRU38" s="85"/>
      <c r="QRV38" s="85"/>
      <c r="QRW38" s="85"/>
      <c r="QRX38" s="85"/>
      <c r="QRY38" s="85"/>
      <c r="QRZ38" s="85"/>
      <c r="QSA38" s="85"/>
      <c r="QSB38" s="85"/>
      <c r="QSC38" s="85"/>
      <c r="QSD38" s="85"/>
      <c r="QSE38" s="85"/>
      <c r="QSF38" s="85"/>
      <c r="QSG38" s="85"/>
      <c r="QSH38" s="85"/>
      <c r="QSI38" s="85"/>
      <c r="QSJ38" s="85"/>
      <c r="QSK38" s="85"/>
      <c r="QSL38" s="85"/>
      <c r="QSM38" s="85"/>
      <c r="QSN38" s="85"/>
      <c r="QSO38" s="85"/>
      <c r="QSP38" s="85"/>
      <c r="QSQ38" s="85"/>
      <c r="QSR38" s="85"/>
      <c r="QSS38" s="85"/>
      <c r="QST38" s="85"/>
      <c r="QSU38" s="85"/>
      <c r="QSV38" s="85"/>
      <c r="QSW38" s="85"/>
      <c r="QSX38" s="85"/>
      <c r="QSY38" s="85"/>
      <c r="QSZ38" s="85"/>
      <c r="QTA38" s="85"/>
      <c r="QTB38" s="85"/>
      <c r="QTC38" s="85"/>
      <c r="QTD38" s="85"/>
      <c r="QTE38" s="85"/>
      <c r="QTF38" s="85"/>
      <c r="QTG38" s="85"/>
      <c r="QTH38" s="85"/>
      <c r="QTI38" s="85"/>
      <c r="QTJ38" s="85"/>
      <c r="QTK38" s="85"/>
      <c r="QTL38" s="85"/>
      <c r="QTM38" s="85"/>
      <c r="QTN38" s="85"/>
      <c r="QTO38" s="85"/>
      <c r="QTP38" s="85"/>
      <c r="QTQ38" s="85"/>
      <c r="QTR38" s="85"/>
      <c r="QTS38" s="85"/>
      <c r="QTT38" s="85"/>
      <c r="QTU38" s="85"/>
      <c r="QTV38" s="85"/>
      <c r="QTW38" s="85"/>
      <c r="QTX38" s="85"/>
      <c r="QTY38" s="85"/>
      <c r="QTZ38" s="85"/>
      <c r="QUA38" s="85"/>
      <c r="QUB38" s="85"/>
      <c r="QUC38" s="85"/>
      <c r="QUD38" s="85"/>
      <c r="QUE38" s="85"/>
      <c r="QUF38" s="85"/>
      <c r="QUG38" s="85"/>
      <c r="QUH38" s="85"/>
      <c r="QUI38" s="85"/>
      <c r="QUJ38" s="85"/>
      <c r="QUK38" s="85"/>
      <c r="QUL38" s="85"/>
      <c r="QUM38" s="85"/>
      <c r="QUN38" s="85"/>
      <c r="QUO38" s="85"/>
      <c r="QUP38" s="85"/>
      <c r="QUQ38" s="85"/>
      <c r="QUR38" s="85"/>
      <c r="QUS38" s="85"/>
      <c r="QUT38" s="85"/>
      <c r="QUU38" s="85"/>
      <c r="QUV38" s="85"/>
      <c r="QUW38" s="85"/>
      <c r="QUX38" s="85"/>
      <c r="QUY38" s="85"/>
      <c r="QUZ38" s="85"/>
      <c r="QVA38" s="85"/>
      <c r="QVB38" s="85"/>
      <c r="QVC38" s="85"/>
      <c r="QVD38" s="85"/>
      <c r="QVE38" s="85"/>
      <c r="QVF38" s="85"/>
      <c r="QVG38" s="85"/>
      <c r="QVH38" s="85"/>
      <c r="QVI38" s="85"/>
      <c r="QVJ38" s="85"/>
      <c r="QVK38" s="85"/>
      <c r="QVL38" s="85"/>
      <c r="QVM38" s="85"/>
      <c r="QVN38" s="85"/>
      <c r="QVO38" s="85"/>
      <c r="QVP38" s="85"/>
      <c r="QVQ38" s="85"/>
      <c r="QVR38" s="85"/>
      <c r="QVS38" s="85"/>
      <c r="QVT38" s="85"/>
      <c r="QVU38" s="85"/>
      <c r="QVV38" s="85"/>
      <c r="QVW38" s="85"/>
      <c r="QVX38" s="85"/>
      <c r="QVY38" s="85"/>
      <c r="QVZ38" s="85"/>
      <c r="QWA38" s="85"/>
      <c r="QWB38" s="85"/>
      <c r="QWC38" s="85"/>
      <c r="QWD38" s="85"/>
      <c r="QWE38" s="85"/>
      <c r="QWF38" s="85"/>
      <c r="QWG38" s="85"/>
      <c r="QWH38" s="85"/>
      <c r="QWI38" s="85"/>
      <c r="QWJ38" s="85"/>
      <c r="QWK38" s="85"/>
      <c r="QWL38" s="85"/>
      <c r="QWM38" s="85"/>
      <c r="QWN38" s="85"/>
      <c r="QWO38" s="85"/>
      <c r="QWP38" s="85"/>
      <c r="QWQ38" s="85"/>
      <c r="QWR38" s="85"/>
      <c r="QWS38" s="85"/>
      <c r="QWT38" s="85"/>
      <c r="QWU38" s="85"/>
      <c r="QWV38" s="85"/>
      <c r="QWW38" s="85"/>
      <c r="QWX38" s="85"/>
      <c r="QWY38" s="85"/>
      <c r="QWZ38" s="85"/>
      <c r="QXA38" s="85"/>
      <c r="QXB38" s="85"/>
      <c r="QXC38" s="85"/>
      <c r="QXD38" s="85"/>
      <c r="QXE38" s="85"/>
      <c r="QXF38" s="85"/>
      <c r="QXG38" s="85"/>
      <c r="QXH38" s="85"/>
      <c r="QXI38" s="85"/>
      <c r="QXJ38" s="85"/>
      <c r="QXK38" s="85"/>
      <c r="QXL38" s="85"/>
      <c r="QXM38" s="85"/>
      <c r="QXN38" s="85"/>
      <c r="QXO38" s="85"/>
      <c r="QXP38" s="85"/>
      <c r="QXQ38" s="85"/>
      <c r="QXR38" s="85"/>
      <c r="QXS38" s="85"/>
      <c r="QXT38" s="85"/>
      <c r="QXU38" s="85"/>
      <c r="QXV38" s="85"/>
      <c r="QXW38" s="85"/>
      <c r="QXX38" s="85"/>
      <c r="QXY38" s="85"/>
      <c r="QXZ38" s="85"/>
      <c r="QYA38" s="85"/>
      <c r="QYB38" s="85"/>
      <c r="QYC38" s="85"/>
      <c r="QYD38" s="85"/>
      <c r="QYE38" s="85"/>
      <c r="QYF38" s="85"/>
      <c r="QYG38" s="85"/>
      <c r="QYH38" s="85"/>
      <c r="QYI38" s="85"/>
      <c r="QYJ38" s="85"/>
      <c r="QYK38" s="85"/>
      <c r="QYL38" s="85"/>
      <c r="QYM38" s="85"/>
      <c r="QYN38" s="85"/>
      <c r="QYO38" s="85"/>
      <c r="QYP38" s="85"/>
      <c r="QYQ38" s="85"/>
      <c r="QYR38" s="85"/>
      <c r="QYS38" s="85"/>
      <c r="QYT38" s="85"/>
      <c r="QYU38" s="85"/>
      <c r="QYV38" s="85"/>
      <c r="QYW38" s="85"/>
      <c r="QYX38" s="85"/>
      <c r="QYY38" s="85"/>
      <c r="QYZ38" s="85"/>
      <c r="QZA38" s="85"/>
      <c r="QZB38" s="85"/>
      <c r="QZC38" s="85"/>
      <c r="QZD38" s="85"/>
      <c r="QZE38" s="85"/>
      <c r="QZF38" s="85"/>
      <c r="QZG38" s="85"/>
      <c r="QZH38" s="85"/>
      <c r="QZI38" s="85"/>
      <c r="QZJ38" s="85"/>
      <c r="QZK38" s="85"/>
      <c r="QZL38" s="85"/>
      <c r="QZM38" s="85"/>
      <c r="QZN38" s="85"/>
      <c r="QZO38" s="85"/>
      <c r="QZP38" s="85"/>
      <c r="QZQ38" s="85"/>
      <c r="QZR38" s="85"/>
      <c r="QZS38" s="85"/>
      <c r="QZT38" s="85"/>
      <c r="QZU38" s="85"/>
      <c r="QZV38" s="85"/>
      <c r="QZW38" s="85"/>
      <c r="QZX38" s="85"/>
      <c r="QZY38" s="85"/>
      <c r="QZZ38" s="85"/>
      <c r="RAA38" s="85"/>
      <c r="RAB38" s="85"/>
      <c r="RAC38" s="85"/>
      <c r="RAD38" s="85"/>
      <c r="RAE38" s="85"/>
      <c r="RAF38" s="85"/>
      <c r="RAG38" s="85"/>
      <c r="RAH38" s="85"/>
      <c r="RAI38" s="85"/>
      <c r="RAJ38" s="85"/>
      <c r="RAK38" s="85"/>
      <c r="RAL38" s="85"/>
      <c r="RAM38" s="85"/>
      <c r="RAN38" s="85"/>
      <c r="RAO38" s="85"/>
      <c r="RAP38" s="85"/>
      <c r="RAQ38" s="85"/>
      <c r="RAR38" s="85"/>
      <c r="RAS38" s="85"/>
      <c r="RAT38" s="85"/>
      <c r="RAU38" s="85"/>
      <c r="RAV38" s="85"/>
      <c r="RAW38" s="85"/>
      <c r="RAX38" s="85"/>
      <c r="RAY38" s="85"/>
      <c r="RAZ38" s="85"/>
      <c r="RBA38" s="85"/>
      <c r="RBB38" s="85"/>
      <c r="RBC38" s="85"/>
      <c r="RBD38" s="85"/>
      <c r="RBE38" s="85"/>
      <c r="RBF38" s="85"/>
      <c r="RBG38" s="85"/>
      <c r="RBH38" s="85"/>
      <c r="RBI38" s="85"/>
      <c r="RBJ38" s="85"/>
      <c r="RBK38" s="85"/>
      <c r="RBL38" s="85"/>
      <c r="RBM38" s="85"/>
      <c r="RBN38" s="85"/>
      <c r="RBO38" s="85"/>
      <c r="RBP38" s="85"/>
      <c r="RBQ38" s="85"/>
      <c r="RBR38" s="85"/>
      <c r="RBS38" s="85"/>
      <c r="RBT38" s="85"/>
      <c r="RBU38" s="85"/>
      <c r="RBV38" s="85"/>
      <c r="RBW38" s="85"/>
      <c r="RBX38" s="85"/>
      <c r="RBY38" s="85"/>
      <c r="RBZ38" s="85"/>
      <c r="RCA38" s="85"/>
      <c r="RCB38" s="85"/>
      <c r="RCC38" s="85"/>
      <c r="RCD38" s="85"/>
      <c r="RCE38" s="85"/>
      <c r="RCF38" s="85"/>
      <c r="RCG38" s="85"/>
      <c r="RCH38" s="85"/>
      <c r="RCI38" s="85"/>
      <c r="RCJ38" s="85"/>
      <c r="RCK38" s="85"/>
      <c r="RCL38" s="85"/>
      <c r="RCM38" s="85"/>
      <c r="RCN38" s="85"/>
      <c r="RCO38" s="85"/>
      <c r="RCP38" s="85"/>
      <c r="RCQ38" s="85"/>
      <c r="RCR38" s="85"/>
      <c r="RCS38" s="85"/>
      <c r="RCT38" s="85"/>
      <c r="RCU38" s="85"/>
      <c r="RCV38" s="85"/>
      <c r="RCW38" s="85"/>
      <c r="RCX38" s="85"/>
      <c r="RCY38" s="85"/>
      <c r="RCZ38" s="85"/>
      <c r="RDA38" s="85"/>
      <c r="RDB38" s="85"/>
      <c r="RDC38" s="85"/>
      <c r="RDD38" s="85"/>
      <c r="RDE38" s="85"/>
      <c r="RDF38" s="85"/>
      <c r="RDG38" s="85"/>
      <c r="RDH38" s="85"/>
      <c r="RDI38" s="85"/>
      <c r="RDJ38" s="85"/>
      <c r="RDK38" s="85"/>
      <c r="RDL38" s="85"/>
      <c r="RDM38" s="85"/>
      <c r="RDN38" s="85"/>
      <c r="RDO38" s="85"/>
      <c r="RDP38" s="85"/>
      <c r="RDQ38" s="85"/>
      <c r="RDR38" s="85"/>
      <c r="RDS38" s="85"/>
      <c r="RDT38" s="85"/>
      <c r="RDU38" s="85"/>
      <c r="RDV38" s="85"/>
      <c r="RDW38" s="85"/>
      <c r="RDX38" s="85"/>
      <c r="RDY38" s="85"/>
      <c r="RDZ38" s="85"/>
      <c r="REA38" s="85"/>
      <c r="REB38" s="85"/>
      <c r="REC38" s="85"/>
      <c r="RED38" s="85"/>
      <c r="REE38" s="85"/>
      <c r="REF38" s="85"/>
      <c r="REG38" s="85"/>
      <c r="REH38" s="85"/>
      <c r="REI38" s="85"/>
      <c r="REJ38" s="85"/>
      <c r="REK38" s="85"/>
      <c r="REL38" s="85"/>
      <c r="REM38" s="85"/>
      <c r="REN38" s="85"/>
      <c r="REO38" s="85"/>
      <c r="REP38" s="85"/>
      <c r="REQ38" s="85"/>
      <c r="RER38" s="85"/>
      <c r="RES38" s="85"/>
      <c r="RET38" s="85"/>
      <c r="REU38" s="85"/>
      <c r="REV38" s="85"/>
      <c r="REW38" s="85"/>
      <c r="REX38" s="85"/>
      <c r="REY38" s="85"/>
      <c r="REZ38" s="85"/>
      <c r="RFA38" s="85"/>
      <c r="RFB38" s="85"/>
      <c r="RFC38" s="85"/>
      <c r="RFD38" s="85"/>
      <c r="RFE38" s="85"/>
      <c r="RFF38" s="85"/>
      <c r="RFG38" s="85"/>
      <c r="RFH38" s="85"/>
      <c r="RFI38" s="85"/>
      <c r="RFJ38" s="85"/>
      <c r="RFK38" s="85"/>
      <c r="RFL38" s="85"/>
      <c r="RFM38" s="85"/>
      <c r="RFN38" s="85"/>
      <c r="RFO38" s="85"/>
      <c r="RFP38" s="85"/>
      <c r="RFQ38" s="85"/>
      <c r="RFR38" s="85"/>
      <c r="RFS38" s="85"/>
      <c r="RFT38" s="85"/>
      <c r="RFU38" s="85"/>
      <c r="RFV38" s="85"/>
      <c r="RFW38" s="85"/>
      <c r="RFX38" s="85"/>
      <c r="RFY38" s="85"/>
      <c r="RFZ38" s="85"/>
      <c r="RGA38" s="85"/>
      <c r="RGB38" s="85"/>
      <c r="RGC38" s="85"/>
      <c r="RGD38" s="85"/>
      <c r="RGE38" s="85"/>
      <c r="RGF38" s="85"/>
      <c r="RGG38" s="85"/>
      <c r="RGH38" s="85"/>
      <c r="RGI38" s="85"/>
      <c r="RGJ38" s="85"/>
      <c r="RGK38" s="85"/>
      <c r="RGL38" s="85"/>
      <c r="RGM38" s="85"/>
      <c r="RGN38" s="85"/>
      <c r="RGO38" s="85"/>
      <c r="RGP38" s="85"/>
      <c r="RGQ38" s="85"/>
      <c r="RGR38" s="85"/>
      <c r="RGS38" s="85"/>
      <c r="RGT38" s="85"/>
      <c r="RGU38" s="85"/>
      <c r="RGV38" s="85"/>
      <c r="RGW38" s="85"/>
      <c r="RGX38" s="85"/>
      <c r="RGY38" s="85"/>
      <c r="RGZ38" s="85"/>
      <c r="RHA38" s="85"/>
      <c r="RHB38" s="85"/>
      <c r="RHC38" s="85"/>
      <c r="RHD38" s="85"/>
      <c r="RHE38" s="85"/>
      <c r="RHF38" s="85"/>
      <c r="RHG38" s="85"/>
      <c r="RHH38" s="85"/>
      <c r="RHI38" s="85"/>
      <c r="RHJ38" s="85"/>
      <c r="RHK38" s="85"/>
      <c r="RHL38" s="85"/>
      <c r="RHM38" s="85"/>
      <c r="RHN38" s="85"/>
      <c r="RHO38" s="85"/>
      <c r="RHP38" s="85"/>
      <c r="RHQ38" s="85"/>
      <c r="RHR38" s="85"/>
      <c r="RHS38" s="85"/>
      <c r="RHT38" s="85"/>
      <c r="RHU38" s="85"/>
      <c r="RHV38" s="85"/>
      <c r="RHW38" s="85"/>
      <c r="RHX38" s="85"/>
      <c r="RHY38" s="85"/>
      <c r="RHZ38" s="85"/>
      <c r="RIA38" s="85"/>
      <c r="RIB38" s="85"/>
      <c r="RIC38" s="85"/>
      <c r="RID38" s="85"/>
      <c r="RIE38" s="85"/>
      <c r="RIF38" s="85"/>
      <c r="RIG38" s="85"/>
      <c r="RIH38" s="85"/>
      <c r="RII38" s="85"/>
      <c r="RIJ38" s="85"/>
      <c r="RIK38" s="85"/>
      <c r="RIL38" s="85"/>
      <c r="RIM38" s="85"/>
      <c r="RIN38" s="85"/>
      <c r="RIO38" s="85"/>
      <c r="RIP38" s="85"/>
      <c r="RIQ38" s="85"/>
      <c r="RIR38" s="85"/>
      <c r="RIS38" s="85"/>
      <c r="RIT38" s="85"/>
      <c r="RIU38" s="85"/>
      <c r="RIV38" s="85"/>
      <c r="RIW38" s="85"/>
      <c r="RIX38" s="85"/>
      <c r="RIY38" s="85"/>
      <c r="RIZ38" s="85"/>
      <c r="RJA38" s="85"/>
      <c r="RJB38" s="85"/>
      <c r="RJC38" s="85"/>
      <c r="RJD38" s="85"/>
      <c r="RJE38" s="85"/>
      <c r="RJF38" s="85"/>
      <c r="RJG38" s="85"/>
      <c r="RJH38" s="85"/>
      <c r="RJI38" s="85"/>
      <c r="RJJ38" s="85"/>
      <c r="RJK38" s="85"/>
      <c r="RJL38" s="85"/>
      <c r="RJM38" s="85"/>
      <c r="RJN38" s="85"/>
      <c r="RJO38" s="85"/>
      <c r="RJP38" s="85"/>
      <c r="RJQ38" s="85"/>
      <c r="RJR38" s="85"/>
      <c r="RJS38" s="85"/>
      <c r="RJT38" s="85"/>
      <c r="RJU38" s="85"/>
      <c r="RJV38" s="85"/>
      <c r="RJW38" s="85"/>
      <c r="RJX38" s="85"/>
      <c r="RJY38" s="85"/>
      <c r="RJZ38" s="85"/>
      <c r="RKA38" s="85"/>
      <c r="RKB38" s="85"/>
      <c r="RKC38" s="85"/>
      <c r="RKD38" s="85"/>
      <c r="RKE38" s="85"/>
      <c r="RKF38" s="85"/>
      <c r="RKG38" s="85"/>
      <c r="RKH38" s="85"/>
      <c r="RKI38" s="85"/>
      <c r="RKJ38" s="85"/>
      <c r="RKK38" s="85"/>
      <c r="RKL38" s="85"/>
      <c r="RKM38" s="85"/>
      <c r="RKN38" s="85"/>
      <c r="RKO38" s="85"/>
      <c r="RKP38" s="85"/>
      <c r="RKQ38" s="85"/>
      <c r="RKR38" s="85"/>
      <c r="RKS38" s="85"/>
      <c r="RKT38" s="85"/>
      <c r="RKU38" s="85"/>
      <c r="RKV38" s="85"/>
      <c r="RKW38" s="85"/>
      <c r="RKX38" s="85"/>
      <c r="RKY38" s="85"/>
      <c r="RKZ38" s="85"/>
      <c r="RLA38" s="85"/>
      <c r="RLB38" s="85"/>
      <c r="RLC38" s="85"/>
      <c r="RLD38" s="85"/>
      <c r="RLE38" s="85"/>
      <c r="RLF38" s="85"/>
      <c r="RLG38" s="85"/>
      <c r="RLH38" s="85"/>
      <c r="RLI38" s="85"/>
      <c r="RLJ38" s="85"/>
      <c r="RLK38" s="85"/>
      <c r="RLL38" s="85"/>
      <c r="RLM38" s="85"/>
      <c r="RLN38" s="85"/>
      <c r="RLO38" s="85"/>
      <c r="RLP38" s="85"/>
      <c r="RLQ38" s="85"/>
      <c r="RLR38" s="85"/>
      <c r="RLS38" s="85"/>
      <c r="RLT38" s="85"/>
      <c r="RLU38" s="85"/>
      <c r="RLV38" s="85"/>
      <c r="RLW38" s="85"/>
      <c r="RLX38" s="85"/>
      <c r="RLY38" s="85"/>
      <c r="RLZ38" s="85"/>
      <c r="RMA38" s="85"/>
      <c r="RMB38" s="85"/>
      <c r="RMC38" s="85"/>
      <c r="RMD38" s="85"/>
      <c r="RME38" s="85"/>
      <c r="RMF38" s="85"/>
      <c r="RMG38" s="85"/>
      <c r="RMH38" s="85"/>
      <c r="RMI38" s="85"/>
      <c r="RMJ38" s="85"/>
      <c r="RMK38" s="85"/>
      <c r="RML38" s="85"/>
      <c r="RMM38" s="85"/>
      <c r="RMN38" s="85"/>
      <c r="RMO38" s="85"/>
      <c r="RMP38" s="85"/>
      <c r="RMQ38" s="85"/>
      <c r="RMR38" s="85"/>
      <c r="RMS38" s="85"/>
      <c r="RMT38" s="85"/>
      <c r="RMU38" s="85"/>
      <c r="RMV38" s="85"/>
      <c r="RMW38" s="85"/>
      <c r="RMX38" s="85"/>
      <c r="RMY38" s="85"/>
      <c r="RMZ38" s="85"/>
      <c r="RNA38" s="85"/>
      <c r="RNB38" s="85"/>
      <c r="RNC38" s="85"/>
      <c r="RND38" s="85"/>
      <c r="RNE38" s="85"/>
      <c r="RNF38" s="85"/>
      <c r="RNG38" s="85"/>
      <c r="RNH38" s="85"/>
      <c r="RNI38" s="85"/>
      <c r="RNJ38" s="85"/>
      <c r="RNK38" s="85"/>
      <c r="RNL38" s="85"/>
      <c r="RNM38" s="85"/>
      <c r="RNN38" s="85"/>
      <c r="RNO38" s="85"/>
      <c r="RNP38" s="85"/>
      <c r="RNQ38" s="85"/>
      <c r="RNR38" s="85"/>
      <c r="RNS38" s="85"/>
      <c r="RNT38" s="85"/>
      <c r="RNU38" s="85"/>
      <c r="RNV38" s="85"/>
      <c r="RNW38" s="85"/>
      <c r="RNX38" s="85"/>
      <c r="RNY38" s="85"/>
      <c r="RNZ38" s="85"/>
      <c r="ROA38" s="85"/>
      <c r="ROB38" s="85"/>
      <c r="ROC38" s="85"/>
      <c r="ROD38" s="85"/>
      <c r="ROE38" s="85"/>
      <c r="ROF38" s="85"/>
      <c r="ROG38" s="85"/>
      <c r="ROH38" s="85"/>
      <c r="ROI38" s="85"/>
      <c r="ROJ38" s="85"/>
      <c r="ROK38" s="85"/>
      <c r="ROL38" s="85"/>
      <c r="ROM38" s="85"/>
      <c r="RON38" s="85"/>
      <c r="ROO38" s="85"/>
      <c r="ROP38" s="85"/>
      <c r="ROQ38" s="85"/>
      <c r="ROR38" s="85"/>
      <c r="ROS38" s="85"/>
      <c r="ROT38" s="85"/>
      <c r="ROU38" s="85"/>
      <c r="ROV38" s="85"/>
      <c r="ROW38" s="85"/>
      <c r="ROX38" s="85"/>
      <c r="ROY38" s="85"/>
      <c r="ROZ38" s="85"/>
      <c r="RPA38" s="85"/>
      <c r="RPB38" s="85"/>
      <c r="RPC38" s="85"/>
      <c r="RPD38" s="85"/>
      <c r="RPE38" s="85"/>
      <c r="RPF38" s="85"/>
      <c r="RPG38" s="85"/>
      <c r="RPH38" s="85"/>
      <c r="RPI38" s="85"/>
      <c r="RPJ38" s="85"/>
      <c r="RPK38" s="85"/>
      <c r="RPL38" s="85"/>
      <c r="RPM38" s="85"/>
      <c r="RPN38" s="85"/>
      <c r="RPO38" s="85"/>
      <c r="RPP38" s="85"/>
      <c r="RPQ38" s="85"/>
      <c r="RPR38" s="85"/>
      <c r="RPS38" s="85"/>
      <c r="RPT38" s="85"/>
      <c r="RPU38" s="85"/>
      <c r="RPV38" s="85"/>
      <c r="RPW38" s="85"/>
      <c r="RPX38" s="85"/>
      <c r="RPY38" s="85"/>
      <c r="RPZ38" s="85"/>
      <c r="RQA38" s="85"/>
      <c r="RQB38" s="85"/>
      <c r="RQC38" s="85"/>
      <c r="RQD38" s="85"/>
      <c r="RQE38" s="85"/>
      <c r="RQF38" s="85"/>
      <c r="RQG38" s="85"/>
      <c r="RQH38" s="85"/>
      <c r="RQI38" s="85"/>
      <c r="RQJ38" s="85"/>
      <c r="RQK38" s="85"/>
      <c r="RQL38" s="85"/>
      <c r="RQM38" s="85"/>
      <c r="RQN38" s="85"/>
      <c r="RQO38" s="85"/>
      <c r="RQP38" s="85"/>
      <c r="RQQ38" s="85"/>
      <c r="RQR38" s="85"/>
      <c r="RQS38" s="85"/>
      <c r="RQT38" s="85"/>
      <c r="RQU38" s="85"/>
      <c r="RQV38" s="85"/>
      <c r="RQW38" s="85"/>
      <c r="RQX38" s="85"/>
      <c r="RQY38" s="85"/>
      <c r="RQZ38" s="85"/>
      <c r="RRA38" s="85"/>
      <c r="RRB38" s="85"/>
      <c r="RRC38" s="85"/>
      <c r="RRD38" s="85"/>
      <c r="RRE38" s="85"/>
      <c r="RRF38" s="85"/>
      <c r="RRG38" s="85"/>
      <c r="RRH38" s="85"/>
      <c r="RRI38" s="85"/>
      <c r="RRJ38" s="85"/>
      <c r="RRK38" s="85"/>
      <c r="RRL38" s="85"/>
      <c r="RRM38" s="85"/>
      <c r="RRN38" s="85"/>
      <c r="RRO38" s="85"/>
      <c r="RRP38" s="85"/>
      <c r="RRQ38" s="85"/>
      <c r="RRR38" s="85"/>
      <c r="RRS38" s="85"/>
      <c r="RRT38" s="85"/>
      <c r="RRU38" s="85"/>
      <c r="RRV38" s="85"/>
      <c r="RRW38" s="85"/>
      <c r="RRX38" s="85"/>
      <c r="RRY38" s="85"/>
      <c r="RRZ38" s="85"/>
      <c r="RSA38" s="85"/>
      <c r="RSB38" s="85"/>
      <c r="RSC38" s="85"/>
      <c r="RSD38" s="85"/>
      <c r="RSE38" s="85"/>
      <c r="RSF38" s="85"/>
      <c r="RSG38" s="85"/>
      <c r="RSH38" s="85"/>
      <c r="RSI38" s="85"/>
      <c r="RSJ38" s="85"/>
      <c r="RSK38" s="85"/>
      <c r="RSL38" s="85"/>
      <c r="RSM38" s="85"/>
      <c r="RSN38" s="85"/>
      <c r="RSO38" s="85"/>
      <c r="RSP38" s="85"/>
      <c r="RSQ38" s="85"/>
      <c r="RSR38" s="85"/>
      <c r="RSS38" s="85"/>
      <c r="RST38" s="85"/>
      <c r="RSU38" s="85"/>
      <c r="RSV38" s="85"/>
      <c r="RSW38" s="85"/>
      <c r="RSX38" s="85"/>
      <c r="RSY38" s="85"/>
      <c r="RSZ38" s="85"/>
      <c r="RTA38" s="85"/>
      <c r="RTB38" s="85"/>
      <c r="RTC38" s="85"/>
      <c r="RTD38" s="85"/>
      <c r="RTE38" s="85"/>
      <c r="RTF38" s="85"/>
      <c r="RTG38" s="85"/>
      <c r="RTH38" s="85"/>
      <c r="RTI38" s="85"/>
      <c r="RTJ38" s="85"/>
      <c r="RTK38" s="85"/>
      <c r="RTL38" s="85"/>
      <c r="RTM38" s="85"/>
      <c r="RTN38" s="85"/>
      <c r="RTO38" s="85"/>
      <c r="RTP38" s="85"/>
      <c r="RTQ38" s="85"/>
      <c r="RTR38" s="85"/>
      <c r="RTS38" s="85"/>
      <c r="RTT38" s="85"/>
      <c r="RTU38" s="85"/>
      <c r="RTV38" s="85"/>
      <c r="RTW38" s="85"/>
      <c r="RTX38" s="85"/>
      <c r="RTY38" s="85"/>
      <c r="RTZ38" s="85"/>
      <c r="RUA38" s="85"/>
      <c r="RUB38" s="85"/>
      <c r="RUC38" s="85"/>
      <c r="RUD38" s="85"/>
      <c r="RUE38" s="85"/>
      <c r="RUF38" s="85"/>
      <c r="RUG38" s="85"/>
      <c r="RUH38" s="85"/>
      <c r="RUI38" s="85"/>
      <c r="RUJ38" s="85"/>
      <c r="RUK38" s="85"/>
      <c r="RUL38" s="85"/>
      <c r="RUM38" s="85"/>
      <c r="RUN38" s="85"/>
      <c r="RUO38" s="85"/>
      <c r="RUP38" s="85"/>
      <c r="RUQ38" s="85"/>
      <c r="RUR38" s="85"/>
      <c r="RUS38" s="85"/>
      <c r="RUT38" s="85"/>
      <c r="RUU38" s="85"/>
      <c r="RUV38" s="85"/>
      <c r="RUW38" s="85"/>
      <c r="RUX38" s="85"/>
      <c r="RUY38" s="85"/>
      <c r="RUZ38" s="85"/>
      <c r="RVA38" s="85"/>
      <c r="RVB38" s="85"/>
      <c r="RVC38" s="85"/>
      <c r="RVD38" s="85"/>
      <c r="RVE38" s="85"/>
      <c r="RVF38" s="85"/>
      <c r="RVG38" s="85"/>
      <c r="RVH38" s="85"/>
      <c r="RVI38" s="85"/>
      <c r="RVJ38" s="85"/>
      <c r="RVK38" s="85"/>
      <c r="RVL38" s="85"/>
      <c r="RVM38" s="85"/>
      <c r="RVN38" s="85"/>
      <c r="RVO38" s="85"/>
      <c r="RVP38" s="85"/>
      <c r="RVQ38" s="85"/>
      <c r="RVR38" s="85"/>
      <c r="RVS38" s="85"/>
      <c r="RVT38" s="85"/>
      <c r="RVU38" s="85"/>
      <c r="RVV38" s="85"/>
      <c r="RVW38" s="85"/>
      <c r="RVX38" s="85"/>
      <c r="RVY38" s="85"/>
      <c r="RVZ38" s="85"/>
      <c r="RWA38" s="85"/>
      <c r="RWB38" s="85"/>
      <c r="RWC38" s="85"/>
      <c r="RWD38" s="85"/>
      <c r="RWE38" s="85"/>
      <c r="RWF38" s="85"/>
      <c r="RWG38" s="85"/>
      <c r="RWH38" s="85"/>
      <c r="RWI38" s="85"/>
      <c r="RWJ38" s="85"/>
      <c r="RWK38" s="85"/>
      <c r="RWL38" s="85"/>
      <c r="RWM38" s="85"/>
      <c r="RWN38" s="85"/>
      <c r="RWO38" s="85"/>
      <c r="RWP38" s="85"/>
      <c r="RWQ38" s="85"/>
      <c r="RWR38" s="85"/>
      <c r="RWS38" s="85"/>
      <c r="RWT38" s="85"/>
      <c r="RWU38" s="85"/>
      <c r="RWV38" s="85"/>
      <c r="RWW38" s="85"/>
      <c r="RWX38" s="85"/>
      <c r="RWY38" s="85"/>
      <c r="RWZ38" s="85"/>
      <c r="RXA38" s="85"/>
      <c r="RXB38" s="85"/>
      <c r="RXC38" s="85"/>
      <c r="RXD38" s="85"/>
      <c r="RXE38" s="85"/>
      <c r="RXF38" s="85"/>
      <c r="RXG38" s="85"/>
      <c r="RXH38" s="85"/>
      <c r="RXI38" s="85"/>
      <c r="RXJ38" s="85"/>
      <c r="RXK38" s="85"/>
      <c r="RXL38" s="85"/>
      <c r="RXM38" s="85"/>
      <c r="RXN38" s="85"/>
      <c r="RXO38" s="85"/>
      <c r="RXP38" s="85"/>
      <c r="RXQ38" s="85"/>
      <c r="RXR38" s="85"/>
      <c r="RXS38" s="85"/>
      <c r="RXT38" s="85"/>
      <c r="RXU38" s="85"/>
      <c r="RXV38" s="85"/>
      <c r="RXW38" s="85"/>
      <c r="RXX38" s="85"/>
      <c r="RXY38" s="85"/>
      <c r="RXZ38" s="85"/>
      <c r="RYA38" s="85"/>
      <c r="RYB38" s="85"/>
      <c r="RYC38" s="85"/>
      <c r="RYD38" s="85"/>
      <c r="RYE38" s="85"/>
      <c r="RYF38" s="85"/>
      <c r="RYG38" s="85"/>
      <c r="RYH38" s="85"/>
      <c r="RYI38" s="85"/>
      <c r="RYJ38" s="85"/>
      <c r="RYK38" s="85"/>
      <c r="RYL38" s="85"/>
      <c r="RYM38" s="85"/>
      <c r="RYN38" s="85"/>
      <c r="RYO38" s="85"/>
      <c r="RYP38" s="85"/>
      <c r="RYQ38" s="85"/>
      <c r="RYR38" s="85"/>
      <c r="RYS38" s="85"/>
      <c r="RYT38" s="85"/>
      <c r="RYU38" s="85"/>
      <c r="RYV38" s="85"/>
      <c r="RYW38" s="85"/>
      <c r="RYX38" s="85"/>
      <c r="RYY38" s="85"/>
      <c r="RYZ38" s="85"/>
      <c r="RZA38" s="85"/>
      <c r="RZB38" s="85"/>
      <c r="RZC38" s="85"/>
      <c r="RZD38" s="85"/>
      <c r="RZE38" s="85"/>
      <c r="RZF38" s="85"/>
      <c r="RZG38" s="85"/>
      <c r="RZH38" s="85"/>
      <c r="RZI38" s="85"/>
      <c r="RZJ38" s="85"/>
      <c r="RZK38" s="85"/>
      <c r="RZL38" s="85"/>
      <c r="RZM38" s="85"/>
      <c r="RZN38" s="85"/>
      <c r="RZO38" s="85"/>
      <c r="RZP38" s="85"/>
      <c r="RZQ38" s="85"/>
      <c r="RZR38" s="85"/>
      <c r="RZS38" s="85"/>
      <c r="RZT38" s="85"/>
      <c r="RZU38" s="85"/>
      <c r="RZV38" s="85"/>
      <c r="RZW38" s="85"/>
      <c r="RZX38" s="85"/>
      <c r="RZY38" s="85"/>
      <c r="RZZ38" s="85"/>
      <c r="SAA38" s="85"/>
      <c r="SAB38" s="85"/>
      <c r="SAC38" s="85"/>
      <c r="SAD38" s="85"/>
      <c r="SAE38" s="85"/>
      <c r="SAF38" s="85"/>
      <c r="SAG38" s="85"/>
      <c r="SAH38" s="85"/>
      <c r="SAI38" s="85"/>
      <c r="SAJ38" s="85"/>
      <c r="SAK38" s="85"/>
      <c r="SAL38" s="85"/>
      <c r="SAM38" s="85"/>
      <c r="SAN38" s="85"/>
      <c r="SAO38" s="85"/>
      <c r="SAP38" s="85"/>
      <c r="SAQ38" s="85"/>
      <c r="SAR38" s="85"/>
      <c r="SAS38" s="85"/>
      <c r="SAT38" s="85"/>
      <c r="SAU38" s="85"/>
      <c r="SAV38" s="85"/>
      <c r="SAW38" s="85"/>
      <c r="SAX38" s="85"/>
      <c r="SAY38" s="85"/>
      <c r="SAZ38" s="85"/>
      <c r="SBA38" s="85"/>
      <c r="SBB38" s="85"/>
      <c r="SBC38" s="85"/>
      <c r="SBD38" s="85"/>
      <c r="SBE38" s="85"/>
      <c r="SBF38" s="85"/>
      <c r="SBG38" s="85"/>
      <c r="SBH38" s="85"/>
      <c r="SBI38" s="85"/>
      <c r="SBJ38" s="85"/>
      <c r="SBK38" s="85"/>
      <c r="SBL38" s="85"/>
      <c r="SBM38" s="85"/>
      <c r="SBN38" s="85"/>
      <c r="SBO38" s="85"/>
      <c r="SBP38" s="85"/>
      <c r="SBQ38" s="85"/>
      <c r="SBR38" s="85"/>
      <c r="SBS38" s="85"/>
      <c r="SBT38" s="85"/>
      <c r="SBU38" s="85"/>
      <c r="SBV38" s="85"/>
      <c r="SBW38" s="85"/>
      <c r="SBX38" s="85"/>
      <c r="SBY38" s="85"/>
      <c r="SBZ38" s="85"/>
      <c r="SCA38" s="85"/>
      <c r="SCB38" s="85"/>
      <c r="SCC38" s="85"/>
      <c r="SCD38" s="85"/>
      <c r="SCE38" s="85"/>
      <c r="SCF38" s="85"/>
      <c r="SCG38" s="85"/>
      <c r="SCH38" s="85"/>
      <c r="SCI38" s="85"/>
      <c r="SCJ38" s="85"/>
      <c r="SCK38" s="85"/>
      <c r="SCL38" s="85"/>
      <c r="SCM38" s="85"/>
      <c r="SCN38" s="85"/>
      <c r="SCO38" s="85"/>
      <c r="SCP38" s="85"/>
      <c r="SCQ38" s="85"/>
      <c r="SCR38" s="85"/>
      <c r="SCS38" s="85"/>
      <c r="SCT38" s="85"/>
      <c r="SCU38" s="85"/>
      <c r="SCV38" s="85"/>
      <c r="SCW38" s="85"/>
      <c r="SCX38" s="85"/>
      <c r="SCY38" s="85"/>
      <c r="SCZ38" s="85"/>
      <c r="SDA38" s="85"/>
      <c r="SDB38" s="85"/>
      <c r="SDC38" s="85"/>
      <c r="SDD38" s="85"/>
      <c r="SDE38" s="85"/>
      <c r="SDF38" s="85"/>
      <c r="SDG38" s="85"/>
      <c r="SDH38" s="85"/>
      <c r="SDI38" s="85"/>
      <c r="SDJ38" s="85"/>
      <c r="SDK38" s="85"/>
      <c r="SDL38" s="85"/>
      <c r="SDM38" s="85"/>
      <c r="SDN38" s="85"/>
      <c r="SDO38" s="85"/>
      <c r="SDP38" s="85"/>
      <c r="SDQ38" s="85"/>
      <c r="SDR38" s="85"/>
      <c r="SDS38" s="85"/>
      <c r="SDT38" s="85"/>
      <c r="SDU38" s="85"/>
      <c r="SDV38" s="85"/>
      <c r="SDW38" s="85"/>
      <c r="SDX38" s="85"/>
      <c r="SDY38" s="85"/>
      <c r="SDZ38" s="85"/>
      <c r="SEA38" s="85"/>
      <c r="SEB38" s="85"/>
      <c r="SEC38" s="85"/>
      <c r="SED38" s="85"/>
      <c r="SEE38" s="85"/>
      <c r="SEF38" s="85"/>
      <c r="SEG38" s="85"/>
      <c r="SEH38" s="85"/>
      <c r="SEI38" s="85"/>
      <c r="SEJ38" s="85"/>
      <c r="SEK38" s="85"/>
      <c r="SEL38" s="85"/>
      <c r="SEM38" s="85"/>
      <c r="SEN38" s="85"/>
      <c r="SEO38" s="85"/>
      <c r="SEP38" s="85"/>
      <c r="SEQ38" s="85"/>
      <c r="SER38" s="85"/>
      <c r="SES38" s="85"/>
      <c r="SET38" s="85"/>
      <c r="SEU38" s="85"/>
      <c r="SEV38" s="85"/>
      <c r="SEW38" s="85"/>
      <c r="SEX38" s="85"/>
      <c r="SEY38" s="85"/>
      <c r="SEZ38" s="85"/>
      <c r="SFA38" s="85"/>
      <c r="SFB38" s="85"/>
      <c r="SFC38" s="85"/>
      <c r="SFD38" s="85"/>
      <c r="SFE38" s="85"/>
      <c r="SFF38" s="85"/>
      <c r="SFG38" s="85"/>
      <c r="SFH38" s="85"/>
      <c r="SFI38" s="85"/>
      <c r="SFJ38" s="85"/>
      <c r="SFK38" s="85"/>
      <c r="SFL38" s="85"/>
      <c r="SFM38" s="85"/>
      <c r="SFN38" s="85"/>
      <c r="SFO38" s="85"/>
      <c r="SFP38" s="85"/>
      <c r="SFQ38" s="85"/>
      <c r="SFR38" s="85"/>
      <c r="SFS38" s="85"/>
      <c r="SFT38" s="85"/>
      <c r="SFU38" s="85"/>
      <c r="SFV38" s="85"/>
      <c r="SFW38" s="85"/>
      <c r="SFX38" s="85"/>
      <c r="SFY38" s="85"/>
      <c r="SFZ38" s="85"/>
      <c r="SGA38" s="85"/>
      <c r="SGB38" s="85"/>
      <c r="SGC38" s="85"/>
      <c r="SGD38" s="85"/>
      <c r="SGE38" s="85"/>
      <c r="SGF38" s="85"/>
      <c r="SGG38" s="85"/>
      <c r="SGH38" s="85"/>
      <c r="SGI38" s="85"/>
      <c r="SGJ38" s="85"/>
      <c r="SGK38" s="85"/>
      <c r="SGL38" s="85"/>
      <c r="SGM38" s="85"/>
      <c r="SGN38" s="85"/>
      <c r="SGO38" s="85"/>
      <c r="SGP38" s="85"/>
      <c r="SGQ38" s="85"/>
      <c r="SGR38" s="85"/>
      <c r="SGS38" s="85"/>
      <c r="SGT38" s="85"/>
      <c r="SGU38" s="85"/>
      <c r="SGV38" s="85"/>
      <c r="SGW38" s="85"/>
      <c r="SGX38" s="85"/>
      <c r="SGY38" s="85"/>
      <c r="SGZ38" s="85"/>
      <c r="SHA38" s="85"/>
      <c r="SHB38" s="85"/>
      <c r="SHC38" s="85"/>
      <c r="SHD38" s="85"/>
      <c r="SHE38" s="85"/>
      <c r="SHF38" s="85"/>
      <c r="SHG38" s="85"/>
      <c r="SHH38" s="85"/>
      <c r="SHI38" s="85"/>
      <c r="SHJ38" s="85"/>
      <c r="SHK38" s="85"/>
      <c r="SHL38" s="85"/>
      <c r="SHM38" s="85"/>
      <c r="SHN38" s="85"/>
      <c r="SHO38" s="85"/>
      <c r="SHP38" s="85"/>
      <c r="SHQ38" s="85"/>
      <c r="SHR38" s="85"/>
      <c r="SHS38" s="85"/>
      <c r="SHT38" s="85"/>
      <c r="SHU38" s="85"/>
      <c r="SHV38" s="85"/>
      <c r="SHW38" s="85"/>
      <c r="SHX38" s="85"/>
      <c r="SHY38" s="85"/>
      <c r="SHZ38" s="85"/>
      <c r="SIA38" s="85"/>
      <c r="SIB38" s="85"/>
      <c r="SIC38" s="85"/>
      <c r="SID38" s="85"/>
      <c r="SIE38" s="85"/>
      <c r="SIF38" s="85"/>
      <c r="SIG38" s="85"/>
      <c r="SIH38" s="85"/>
      <c r="SII38" s="85"/>
      <c r="SIJ38" s="85"/>
      <c r="SIK38" s="85"/>
      <c r="SIL38" s="85"/>
      <c r="SIM38" s="85"/>
      <c r="SIN38" s="85"/>
      <c r="SIO38" s="85"/>
      <c r="SIP38" s="85"/>
      <c r="SIQ38" s="85"/>
      <c r="SIR38" s="85"/>
      <c r="SIS38" s="85"/>
      <c r="SIT38" s="85"/>
      <c r="SIU38" s="85"/>
      <c r="SIV38" s="85"/>
      <c r="SIW38" s="85"/>
      <c r="SIX38" s="85"/>
      <c r="SIY38" s="85"/>
      <c r="SIZ38" s="85"/>
      <c r="SJA38" s="85"/>
      <c r="SJB38" s="85"/>
      <c r="SJC38" s="85"/>
      <c r="SJD38" s="85"/>
      <c r="SJE38" s="85"/>
      <c r="SJF38" s="85"/>
      <c r="SJG38" s="85"/>
      <c r="SJH38" s="85"/>
      <c r="SJI38" s="85"/>
      <c r="SJJ38" s="85"/>
      <c r="SJK38" s="85"/>
      <c r="SJL38" s="85"/>
      <c r="SJM38" s="85"/>
      <c r="SJN38" s="85"/>
      <c r="SJO38" s="85"/>
      <c r="SJP38" s="85"/>
      <c r="SJQ38" s="85"/>
      <c r="SJR38" s="85"/>
      <c r="SJS38" s="85"/>
      <c r="SJT38" s="85"/>
      <c r="SJU38" s="85"/>
      <c r="SJV38" s="85"/>
      <c r="SJW38" s="85"/>
      <c r="SJX38" s="85"/>
      <c r="SJY38" s="85"/>
      <c r="SJZ38" s="85"/>
      <c r="SKA38" s="85"/>
      <c r="SKB38" s="85"/>
      <c r="SKC38" s="85"/>
      <c r="SKD38" s="85"/>
      <c r="SKE38" s="85"/>
      <c r="SKF38" s="85"/>
      <c r="SKG38" s="85"/>
      <c r="SKH38" s="85"/>
      <c r="SKI38" s="85"/>
      <c r="SKJ38" s="85"/>
      <c r="SKK38" s="85"/>
      <c r="SKL38" s="85"/>
      <c r="SKM38" s="85"/>
      <c r="SKN38" s="85"/>
      <c r="SKO38" s="85"/>
      <c r="SKP38" s="85"/>
      <c r="SKQ38" s="85"/>
      <c r="SKR38" s="85"/>
      <c r="SKS38" s="85"/>
      <c r="SKT38" s="85"/>
      <c r="SKU38" s="85"/>
      <c r="SKV38" s="85"/>
      <c r="SKW38" s="85"/>
      <c r="SKX38" s="85"/>
      <c r="SKY38" s="85"/>
      <c r="SKZ38" s="85"/>
      <c r="SLA38" s="85"/>
      <c r="SLB38" s="85"/>
      <c r="SLC38" s="85"/>
      <c r="SLD38" s="85"/>
      <c r="SLE38" s="85"/>
      <c r="SLF38" s="85"/>
      <c r="SLG38" s="85"/>
      <c r="SLH38" s="85"/>
      <c r="SLI38" s="85"/>
      <c r="SLJ38" s="85"/>
      <c r="SLK38" s="85"/>
      <c r="SLL38" s="85"/>
      <c r="SLM38" s="85"/>
      <c r="SLN38" s="85"/>
      <c r="SLO38" s="85"/>
      <c r="SLP38" s="85"/>
      <c r="SLQ38" s="85"/>
      <c r="SLR38" s="85"/>
      <c r="SLS38" s="85"/>
      <c r="SLT38" s="85"/>
      <c r="SLU38" s="85"/>
      <c r="SLV38" s="85"/>
      <c r="SLW38" s="85"/>
      <c r="SLX38" s="85"/>
      <c r="SLY38" s="85"/>
      <c r="SLZ38" s="85"/>
      <c r="SMA38" s="85"/>
      <c r="SMB38" s="85"/>
      <c r="SMC38" s="85"/>
      <c r="SMD38" s="85"/>
      <c r="SME38" s="85"/>
      <c r="SMF38" s="85"/>
      <c r="SMG38" s="85"/>
      <c r="SMH38" s="85"/>
      <c r="SMI38" s="85"/>
      <c r="SMJ38" s="85"/>
      <c r="SMK38" s="85"/>
      <c r="SML38" s="85"/>
      <c r="SMM38" s="85"/>
      <c r="SMN38" s="85"/>
      <c r="SMO38" s="85"/>
      <c r="SMP38" s="85"/>
      <c r="SMQ38" s="85"/>
      <c r="SMR38" s="85"/>
      <c r="SMS38" s="85"/>
      <c r="SMT38" s="85"/>
      <c r="SMU38" s="85"/>
      <c r="SMV38" s="85"/>
      <c r="SMW38" s="85"/>
      <c r="SMX38" s="85"/>
      <c r="SMY38" s="85"/>
      <c r="SMZ38" s="85"/>
      <c r="SNA38" s="85"/>
      <c r="SNB38" s="85"/>
      <c r="SNC38" s="85"/>
      <c r="SND38" s="85"/>
      <c r="SNE38" s="85"/>
      <c r="SNF38" s="85"/>
      <c r="SNG38" s="85"/>
      <c r="SNH38" s="85"/>
      <c r="SNI38" s="85"/>
      <c r="SNJ38" s="85"/>
      <c r="SNK38" s="85"/>
      <c r="SNL38" s="85"/>
      <c r="SNM38" s="85"/>
      <c r="SNN38" s="85"/>
      <c r="SNO38" s="85"/>
      <c r="SNP38" s="85"/>
      <c r="SNQ38" s="85"/>
      <c r="SNR38" s="85"/>
      <c r="SNS38" s="85"/>
      <c r="SNT38" s="85"/>
      <c r="SNU38" s="85"/>
      <c r="SNV38" s="85"/>
      <c r="SNW38" s="85"/>
      <c r="SNX38" s="85"/>
      <c r="SNY38" s="85"/>
      <c r="SNZ38" s="85"/>
      <c r="SOA38" s="85"/>
      <c r="SOB38" s="85"/>
      <c r="SOC38" s="85"/>
      <c r="SOD38" s="85"/>
      <c r="SOE38" s="85"/>
      <c r="SOF38" s="85"/>
      <c r="SOG38" s="85"/>
      <c r="SOH38" s="85"/>
      <c r="SOI38" s="85"/>
      <c r="SOJ38" s="85"/>
      <c r="SOK38" s="85"/>
      <c r="SOL38" s="85"/>
      <c r="SOM38" s="85"/>
      <c r="SON38" s="85"/>
      <c r="SOO38" s="85"/>
      <c r="SOP38" s="85"/>
      <c r="SOQ38" s="85"/>
      <c r="SOR38" s="85"/>
      <c r="SOS38" s="85"/>
      <c r="SOT38" s="85"/>
      <c r="SOU38" s="85"/>
      <c r="SOV38" s="85"/>
      <c r="SOW38" s="85"/>
      <c r="SOX38" s="85"/>
      <c r="SOY38" s="85"/>
      <c r="SOZ38" s="85"/>
      <c r="SPA38" s="85"/>
      <c r="SPB38" s="85"/>
      <c r="SPC38" s="85"/>
      <c r="SPD38" s="85"/>
      <c r="SPE38" s="85"/>
      <c r="SPF38" s="85"/>
      <c r="SPG38" s="85"/>
      <c r="SPH38" s="85"/>
      <c r="SPI38" s="85"/>
      <c r="SPJ38" s="85"/>
      <c r="SPK38" s="85"/>
      <c r="SPL38" s="85"/>
      <c r="SPM38" s="85"/>
      <c r="SPN38" s="85"/>
      <c r="SPO38" s="85"/>
      <c r="SPP38" s="85"/>
      <c r="SPQ38" s="85"/>
      <c r="SPR38" s="85"/>
      <c r="SPS38" s="85"/>
      <c r="SPT38" s="85"/>
      <c r="SPU38" s="85"/>
      <c r="SPV38" s="85"/>
      <c r="SPW38" s="85"/>
      <c r="SPX38" s="85"/>
      <c r="SPY38" s="85"/>
      <c r="SPZ38" s="85"/>
      <c r="SQA38" s="85"/>
      <c r="SQB38" s="85"/>
      <c r="SQC38" s="85"/>
      <c r="SQD38" s="85"/>
      <c r="SQE38" s="85"/>
      <c r="SQF38" s="85"/>
      <c r="SQG38" s="85"/>
      <c r="SQH38" s="85"/>
      <c r="SQI38" s="85"/>
      <c r="SQJ38" s="85"/>
      <c r="SQK38" s="85"/>
      <c r="SQL38" s="85"/>
      <c r="SQM38" s="85"/>
      <c r="SQN38" s="85"/>
      <c r="SQO38" s="85"/>
      <c r="SQP38" s="85"/>
      <c r="SQQ38" s="85"/>
      <c r="SQR38" s="85"/>
      <c r="SQS38" s="85"/>
      <c r="SQT38" s="85"/>
      <c r="SQU38" s="85"/>
      <c r="SQV38" s="85"/>
      <c r="SQW38" s="85"/>
      <c r="SQX38" s="85"/>
      <c r="SQY38" s="85"/>
      <c r="SQZ38" s="85"/>
      <c r="SRA38" s="85"/>
      <c r="SRB38" s="85"/>
      <c r="SRC38" s="85"/>
      <c r="SRD38" s="85"/>
      <c r="SRE38" s="85"/>
      <c r="SRF38" s="85"/>
      <c r="SRG38" s="85"/>
      <c r="SRH38" s="85"/>
      <c r="SRI38" s="85"/>
      <c r="SRJ38" s="85"/>
      <c r="SRK38" s="85"/>
      <c r="SRL38" s="85"/>
      <c r="SRM38" s="85"/>
      <c r="SRN38" s="85"/>
      <c r="SRO38" s="85"/>
      <c r="SRP38" s="85"/>
      <c r="SRQ38" s="85"/>
      <c r="SRR38" s="85"/>
      <c r="SRS38" s="85"/>
      <c r="SRT38" s="85"/>
      <c r="SRU38" s="85"/>
      <c r="SRV38" s="85"/>
      <c r="SRW38" s="85"/>
      <c r="SRX38" s="85"/>
      <c r="SRY38" s="85"/>
      <c r="SRZ38" s="85"/>
      <c r="SSA38" s="85"/>
      <c r="SSB38" s="85"/>
      <c r="SSC38" s="85"/>
      <c r="SSD38" s="85"/>
      <c r="SSE38" s="85"/>
      <c r="SSF38" s="85"/>
      <c r="SSG38" s="85"/>
      <c r="SSH38" s="85"/>
      <c r="SSI38" s="85"/>
      <c r="SSJ38" s="85"/>
      <c r="SSK38" s="85"/>
      <c r="SSL38" s="85"/>
      <c r="SSM38" s="85"/>
      <c r="SSN38" s="85"/>
      <c r="SSO38" s="85"/>
      <c r="SSP38" s="85"/>
      <c r="SSQ38" s="85"/>
      <c r="SSR38" s="85"/>
      <c r="SSS38" s="85"/>
      <c r="SST38" s="85"/>
      <c r="SSU38" s="85"/>
      <c r="SSV38" s="85"/>
      <c r="SSW38" s="85"/>
      <c r="SSX38" s="85"/>
      <c r="SSY38" s="85"/>
      <c r="SSZ38" s="85"/>
      <c r="STA38" s="85"/>
      <c r="STB38" s="85"/>
      <c r="STC38" s="85"/>
      <c r="STD38" s="85"/>
      <c r="STE38" s="85"/>
      <c r="STF38" s="85"/>
      <c r="STG38" s="85"/>
      <c r="STH38" s="85"/>
      <c r="STI38" s="85"/>
      <c r="STJ38" s="85"/>
      <c r="STK38" s="85"/>
      <c r="STL38" s="85"/>
      <c r="STM38" s="85"/>
      <c r="STN38" s="85"/>
      <c r="STO38" s="85"/>
      <c r="STP38" s="85"/>
      <c r="STQ38" s="85"/>
      <c r="STR38" s="85"/>
      <c r="STS38" s="85"/>
      <c r="STT38" s="85"/>
      <c r="STU38" s="85"/>
      <c r="STV38" s="85"/>
      <c r="STW38" s="85"/>
      <c r="STX38" s="85"/>
      <c r="STY38" s="85"/>
      <c r="STZ38" s="85"/>
      <c r="SUA38" s="85"/>
      <c r="SUB38" s="85"/>
      <c r="SUC38" s="85"/>
      <c r="SUD38" s="85"/>
      <c r="SUE38" s="85"/>
      <c r="SUF38" s="85"/>
      <c r="SUG38" s="85"/>
      <c r="SUH38" s="85"/>
      <c r="SUI38" s="85"/>
      <c r="SUJ38" s="85"/>
      <c r="SUK38" s="85"/>
      <c r="SUL38" s="85"/>
      <c r="SUM38" s="85"/>
      <c r="SUN38" s="85"/>
      <c r="SUO38" s="85"/>
      <c r="SUP38" s="85"/>
      <c r="SUQ38" s="85"/>
      <c r="SUR38" s="85"/>
      <c r="SUS38" s="85"/>
      <c r="SUT38" s="85"/>
      <c r="SUU38" s="85"/>
      <c r="SUV38" s="85"/>
      <c r="SUW38" s="85"/>
      <c r="SUX38" s="85"/>
      <c r="SUY38" s="85"/>
      <c r="SUZ38" s="85"/>
      <c r="SVA38" s="85"/>
      <c r="SVB38" s="85"/>
      <c r="SVC38" s="85"/>
      <c r="SVD38" s="85"/>
      <c r="SVE38" s="85"/>
      <c r="SVF38" s="85"/>
      <c r="SVG38" s="85"/>
      <c r="SVH38" s="85"/>
      <c r="SVI38" s="85"/>
      <c r="SVJ38" s="85"/>
      <c r="SVK38" s="85"/>
      <c r="SVL38" s="85"/>
      <c r="SVM38" s="85"/>
      <c r="SVN38" s="85"/>
      <c r="SVO38" s="85"/>
      <c r="SVP38" s="85"/>
      <c r="SVQ38" s="85"/>
      <c r="SVR38" s="85"/>
      <c r="SVS38" s="85"/>
      <c r="SVT38" s="85"/>
      <c r="SVU38" s="85"/>
      <c r="SVV38" s="85"/>
      <c r="SVW38" s="85"/>
      <c r="SVX38" s="85"/>
      <c r="SVY38" s="85"/>
      <c r="SVZ38" s="85"/>
      <c r="SWA38" s="85"/>
      <c r="SWB38" s="85"/>
      <c r="SWC38" s="85"/>
      <c r="SWD38" s="85"/>
      <c r="SWE38" s="85"/>
      <c r="SWF38" s="85"/>
      <c r="SWG38" s="85"/>
      <c r="SWH38" s="85"/>
      <c r="SWI38" s="85"/>
      <c r="SWJ38" s="85"/>
      <c r="SWK38" s="85"/>
      <c r="SWL38" s="85"/>
      <c r="SWM38" s="85"/>
      <c r="SWN38" s="85"/>
      <c r="SWO38" s="85"/>
      <c r="SWP38" s="85"/>
      <c r="SWQ38" s="85"/>
      <c r="SWR38" s="85"/>
      <c r="SWS38" s="85"/>
      <c r="SWT38" s="85"/>
      <c r="SWU38" s="85"/>
      <c r="SWV38" s="85"/>
      <c r="SWW38" s="85"/>
      <c r="SWX38" s="85"/>
      <c r="SWY38" s="85"/>
      <c r="SWZ38" s="85"/>
      <c r="SXA38" s="85"/>
      <c r="SXB38" s="85"/>
      <c r="SXC38" s="85"/>
      <c r="SXD38" s="85"/>
      <c r="SXE38" s="85"/>
      <c r="SXF38" s="85"/>
      <c r="SXG38" s="85"/>
      <c r="SXH38" s="85"/>
      <c r="SXI38" s="85"/>
      <c r="SXJ38" s="85"/>
      <c r="SXK38" s="85"/>
      <c r="SXL38" s="85"/>
      <c r="SXM38" s="85"/>
      <c r="SXN38" s="85"/>
      <c r="SXO38" s="85"/>
      <c r="SXP38" s="85"/>
      <c r="SXQ38" s="85"/>
      <c r="SXR38" s="85"/>
      <c r="SXS38" s="85"/>
      <c r="SXT38" s="85"/>
      <c r="SXU38" s="85"/>
      <c r="SXV38" s="85"/>
      <c r="SXW38" s="85"/>
      <c r="SXX38" s="85"/>
      <c r="SXY38" s="85"/>
      <c r="SXZ38" s="85"/>
      <c r="SYA38" s="85"/>
      <c r="SYB38" s="85"/>
      <c r="SYC38" s="85"/>
      <c r="SYD38" s="85"/>
      <c r="SYE38" s="85"/>
      <c r="SYF38" s="85"/>
      <c r="SYG38" s="85"/>
      <c r="SYH38" s="85"/>
      <c r="SYI38" s="85"/>
      <c r="SYJ38" s="85"/>
      <c r="SYK38" s="85"/>
      <c r="SYL38" s="85"/>
      <c r="SYM38" s="85"/>
      <c r="SYN38" s="85"/>
      <c r="SYO38" s="85"/>
      <c r="SYP38" s="85"/>
      <c r="SYQ38" s="85"/>
      <c r="SYR38" s="85"/>
      <c r="SYS38" s="85"/>
      <c r="SYT38" s="85"/>
      <c r="SYU38" s="85"/>
      <c r="SYV38" s="85"/>
      <c r="SYW38" s="85"/>
      <c r="SYX38" s="85"/>
      <c r="SYY38" s="85"/>
      <c r="SYZ38" s="85"/>
      <c r="SZA38" s="85"/>
      <c r="SZB38" s="85"/>
      <c r="SZC38" s="85"/>
      <c r="SZD38" s="85"/>
      <c r="SZE38" s="85"/>
      <c r="SZF38" s="85"/>
      <c r="SZG38" s="85"/>
      <c r="SZH38" s="85"/>
      <c r="SZI38" s="85"/>
      <c r="SZJ38" s="85"/>
      <c r="SZK38" s="85"/>
      <c r="SZL38" s="85"/>
      <c r="SZM38" s="85"/>
      <c r="SZN38" s="85"/>
      <c r="SZO38" s="85"/>
      <c r="SZP38" s="85"/>
      <c r="SZQ38" s="85"/>
      <c r="SZR38" s="85"/>
      <c r="SZS38" s="85"/>
      <c r="SZT38" s="85"/>
      <c r="SZU38" s="85"/>
      <c r="SZV38" s="85"/>
      <c r="SZW38" s="85"/>
      <c r="SZX38" s="85"/>
      <c r="SZY38" s="85"/>
      <c r="SZZ38" s="85"/>
      <c r="TAA38" s="85"/>
      <c r="TAB38" s="85"/>
      <c r="TAC38" s="85"/>
      <c r="TAD38" s="85"/>
      <c r="TAE38" s="85"/>
      <c r="TAF38" s="85"/>
      <c r="TAG38" s="85"/>
      <c r="TAH38" s="85"/>
      <c r="TAI38" s="85"/>
      <c r="TAJ38" s="85"/>
      <c r="TAK38" s="85"/>
      <c r="TAL38" s="85"/>
      <c r="TAM38" s="85"/>
      <c r="TAN38" s="85"/>
      <c r="TAO38" s="85"/>
      <c r="TAP38" s="85"/>
      <c r="TAQ38" s="85"/>
      <c r="TAR38" s="85"/>
      <c r="TAS38" s="85"/>
      <c r="TAT38" s="85"/>
      <c r="TAU38" s="85"/>
      <c r="TAV38" s="85"/>
      <c r="TAW38" s="85"/>
      <c r="TAX38" s="85"/>
      <c r="TAY38" s="85"/>
      <c r="TAZ38" s="85"/>
      <c r="TBA38" s="85"/>
      <c r="TBB38" s="85"/>
      <c r="TBC38" s="85"/>
      <c r="TBD38" s="85"/>
      <c r="TBE38" s="85"/>
      <c r="TBF38" s="85"/>
      <c r="TBG38" s="85"/>
      <c r="TBH38" s="85"/>
      <c r="TBI38" s="85"/>
      <c r="TBJ38" s="85"/>
      <c r="TBK38" s="85"/>
      <c r="TBL38" s="85"/>
      <c r="TBM38" s="85"/>
      <c r="TBN38" s="85"/>
      <c r="TBO38" s="85"/>
      <c r="TBP38" s="85"/>
      <c r="TBQ38" s="85"/>
      <c r="TBR38" s="85"/>
      <c r="TBS38" s="85"/>
      <c r="TBT38" s="85"/>
      <c r="TBU38" s="85"/>
      <c r="TBV38" s="85"/>
      <c r="TBW38" s="85"/>
      <c r="TBX38" s="85"/>
      <c r="TBY38" s="85"/>
      <c r="TBZ38" s="85"/>
      <c r="TCA38" s="85"/>
      <c r="TCB38" s="85"/>
      <c r="TCC38" s="85"/>
      <c r="TCD38" s="85"/>
      <c r="TCE38" s="85"/>
      <c r="TCF38" s="85"/>
      <c r="TCG38" s="85"/>
      <c r="TCH38" s="85"/>
      <c r="TCI38" s="85"/>
      <c r="TCJ38" s="85"/>
      <c r="TCK38" s="85"/>
      <c r="TCL38" s="85"/>
      <c r="TCM38" s="85"/>
      <c r="TCN38" s="85"/>
      <c r="TCO38" s="85"/>
      <c r="TCP38" s="85"/>
      <c r="TCQ38" s="85"/>
      <c r="TCR38" s="85"/>
      <c r="TCS38" s="85"/>
      <c r="TCT38" s="85"/>
      <c r="TCU38" s="85"/>
      <c r="TCV38" s="85"/>
      <c r="TCW38" s="85"/>
      <c r="TCX38" s="85"/>
      <c r="TCY38" s="85"/>
      <c r="TCZ38" s="85"/>
      <c r="TDA38" s="85"/>
      <c r="TDB38" s="85"/>
      <c r="TDC38" s="85"/>
      <c r="TDD38" s="85"/>
      <c r="TDE38" s="85"/>
      <c r="TDF38" s="85"/>
      <c r="TDG38" s="85"/>
      <c r="TDH38" s="85"/>
      <c r="TDI38" s="85"/>
      <c r="TDJ38" s="85"/>
      <c r="TDK38" s="85"/>
      <c r="TDL38" s="85"/>
      <c r="TDM38" s="85"/>
      <c r="TDN38" s="85"/>
      <c r="TDO38" s="85"/>
      <c r="TDP38" s="85"/>
      <c r="TDQ38" s="85"/>
      <c r="TDR38" s="85"/>
      <c r="TDS38" s="85"/>
      <c r="TDT38" s="85"/>
      <c r="TDU38" s="85"/>
      <c r="TDV38" s="85"/>
      <c r="TDW38" s="85"/>
      <c r="TDX38" s="85"/>
      <c r="TDY38" s="85"/>
      <c r="TDZ38" s="85"/>
      <c r="TEA38" s="85"/>
      <c r="TEB38" s="85"/>
      <c r="TEC38" s="85"/>
      <c r="TED38" s="85"/>
      <c r="TEE38" s="85"/>
      <c r="TEF38" s="85"/>
      <c r="TEG38" s="85"/>
      <c r="TEH38" s="85"/>
      <c r="TEI38" s="85"/>
      <c r="TEJ38" s="85"/>
      <c r="TEK38" s="85"/>
      <c r="TEL38" s="85"/>
      <c r="TEM38" s="85"/>
      <c r="TEN38" s="85"/>
      <c r="TEO38" s="85"/>
      <c r="TEP38" s="85"/>
      <c r="TEQ38" s="85"/>
      <c r="TER38" s="85"/>
      <c r="TES38" s="85"/>
      <c r="TET38" s="85"/>
      <c r="TEU38" s="85"/>
      <c r="TEV38" s="85"/>
      <c r="TEW38" s="85"/>
      <c r="TEX38" s="85"/>
      <c r="TEY38" s="85"/>
      <c r="TEZ38" s="85"/>
      <c r="TFA38" s="85"/>
      <c r="TFB38" s="85"/>
      <c r="TFC38" s="85"/>
      <c r="TFD38" s="85"/>
      <c r="TFE38" s="85"/>
      <c r="TFF38" s="85"/>
      <c r="TFG38" s="85"/>
      <c r="TFH38" s="85"/>
      <c r="TFI38" s="85"/>
      <c r="TFJ38" s="85"/>
      <c r="TFK38" s="85"/>
      <c r="TFL38" s="85"/>
      <c r="TFM38" s="85"/>
      <c r="TFN38" s="85"/>
      <c r="TFO38" s="85"/>
      <c r="TFP38" s="85"/>
      <c r="TFQ38" s="85"/>
      <c r="TFR38" s="85"/>
      <c r="TFS38" s="85"/>
      <c r="TFT38" s="85"/>
      <c r="TFU38" s="85"/>
      <c r="TFV38" s="85"/>
      <c r="TFW38" s="85"/>
      <c r="TFX38" s="85"/>
      <c r="TFY38" s="85"/>
      <c r="TFZ38" s="85"/>
      <c r="TGA38" s="85"/>
      <c r="TGB38" s="85"/>
      <c r="TGC38" s="85"/>
      <c r="TGD38" s="85"/>
      <c r="TGE38" s="85"/>
      <c r="TGF38" s="85"/>
      <c r="TGG38" s="85"/>
      <c r="TGH38" s="85"/>
      <c r="TGI38" s="85"/>
      <c r="TGJ38" s="85"/>
      <c r="TGK38" s="85"/>
      <c r="TGL38" s="85"/>
      <c r="TGM38" s="85"/>
      <c r="TGN38" s="85"/>
      <c r="TGO38" s="85"/>
      <c r="TGP38" s="85"/>
      <c r="TGQ38" s="85"/>
      <c r="TGR38" s="85"/>
      <c r="TGS38" s="85"/>
      <c r="TGT38" s="85"/>
      <c r="TGU38" s="85"/>
      <c r="TGV38" s="85"/>
      <c r="TGW38" s="85"/>
      <c r="TGX38" s="85"/>
      <c r="TGY38" s="85"/>
      <c r="TGZ38" s="85"/>
      <c r="THA38" s="85"/>
      <c r="THB38" s="85"/>
      <c r="THC38" s="85"/>
      <c r="THD38" s="85"/>
      <c r="THE38" s="85"/>
      <c r="THF38" s="85"/>
      <c r="THG38" s="85"/>
      <c r="THH38" s="85"/>
      <c r="THI38" s="85"/>
      <c r="THJ38" s="85"/>
      <c r="THK38" s="85"/>
      <c r="THL38" s="85"/>
      <c r="THM38" s="85"/>
      <c r="THN38" s="85"/>
      <c r="THO38" s="85"/>
      <c r="THP38" s="85"/>
      <c r="THQ38" s="85"/>
      <c r="THR38" s="85"/>
      <c r="THS38" s="85"/>
      <c r="THT38" s="85"/>
      <c r="THU38" s="85"/>
      <c r="THV38" s="85"/>
      <c r="THW38" s="85"/>
      <c r="THX38" s="85"/>
      <c r="THY38" s="85"/>
      <c r="THZ38" s="85"/>
      <c r="TIA38" s="85"/>
      <c r="TIB38" s="85"/>
      <c r="TIC38" s="85"/>
      <c r="TID38" s="85"/>
      <c r="TIE38" s="85"/>
      <c r="TIF38" s="85"/>
      <c r="TIG38" s="85"/>
      <c r="TIH38" s="85"/>
      <c r="TII38" s="85"/>
      <c r="TIJ38" s="85"/>
      <c r="TIK38" s="85"/>
      <c r="TIL38" s="85"/>
      <c r="TIM38" s="85"/>
      <c r="TIN38" s="85"/>
      <c r="TIO38" s="85"/>
      <c r="TIP38" s="85"/>
      <c r="TIQ38" s="85"/>
      <c r="TIR38" s="85"/>
      <c r="TIS38" s="85"/>
      <c r="TIT38" s="85"/>
      <c r="TIU38" s="85"/>
      <c r="TIV38" s="85"/>
      <c r="TIW38" s="85"/>
      <c r="TIX38" s="85"/>
      <c r="TIY38" s="85"/>
      <c r="TIZ38" s="85"/>
      <c r="TJA38" s="85"/>
      <c r="TJB38" s="85"/>
      <c r="TJC38" s="85"/>
      <c r="TJD38" s="85"/>
      <c r="TJE38" s="85"/>
      <c r="TJF38" s="85"/>
      <c r="TJG38" s="85"/>
      <c r="TJH38" s="85"/>
      <c r="TJI38" s="85"/>
      <c r="TJJ38" s="85"/>
      <c r="TJK38" s="85"/>
      <c r="TJL38" s="85"/>
      <c r="TJM38" s="85"/>
      <c r="TJN38" s="85"/>
      <c r="TJO38" s="85"/>
      <c r="TJP38" s="85"/>
      <c r="TJQ38" s="85"/>
      <c r="TJR38" s="85"/>
      <c r="TJS38" s="85"/>
      <c r="TJT38" s="85"/>
      <c r="TJU38" s="85"/>
      <c r="TJV38" s="85"/>
      <c r="TJW38" s="85"/>
      <c r="TJX38" s="85"/>
      <c r="TJY38" s="85"/>
      <c r="TJZ38" s="85"/>
      <c r="TKA38" s="85"/>
      <c r="TKB38" s="85"/>
      <c r="TKC38" s="85"/>
      <c r="TKD38" s="85"/>
      <c r="TKE38" s="85"/>
      <c r="TKF38" s="85"/>
      <c r="TKG38" s="85"/>
      <c r="TKH38" s="85"/>
      <c r="TKI38" s="85"/>
      <c r="TKJ38" s="85"/>
      <c r="TKK38" s="85"/>
      <c r="TKL38" s="85"/>
      <c r="TKM38" s="85"/>
      <c r="TKN38" s="85"/>
      <c r="TKO38" s="85"/>
      <c r="TKP38" s="85"/>
      <c r="TKQ38" s="85"/>
      <c r="TKR38" s="85"/>
      <c r="TKS38" s="85"/>
      <c r="TKT38" s="85"/>
      <c r="TKU38" s="85"/>
      <c r="TKV38" s="85"/>
      <c r="TKW38" s="85"/>
      <c r="TKX38" s="85"/>
      <c r="TKY38" s="85"/>
      <c r="TKZ38" s="85"/>
      <c r="TLA38" s="85"/>
      <c r="TLB38" s="85"/>
      <c r="TLC38" s="85"/>
      <c r="TLD38" s="85"/>
      <c r="TLE38" s="85"/>
      <c r="TLF38" s="85"/>
      <c r="TLG38" s="85"/>
      <c r="TLH38" s="85"/>
      <c r="TLI38" s="85"/>
      <c r="TLJ38" s="85"/>
      <c r="TLK38" s="85"/>
      <c r="TLL38" s="85"/>
      <c r="TLM38" s="85"/>
      <c r="TLN38" s="85"/>
      <c r="TLO38" s="85"/>
      <c r="TLP38" s="85"/>
      <c r="TLQ38" s="85"/>
      <c r="TLR38" s="85"/>
      <c r="TLS38" s="85"/>
      <c r="TLT38" s="85"/>
      <c r="TLU38" s="85"/>
      <c r="TLV38" s="85"/>
      <c r="TLW38" s="85"/>
      <c r="TLX38" s="85"/>
      <c r="TLY38" s="85"/>
      <c r="TLZ38" s="85"/>
      <c r="TMA38" s="85"/>
      <c r="TMB38" s="85"/>
      <c r="TMC38" s="85"/>
      <c r="TMD38" s="85"/>
      <c r="TME38" s="85"/>
      <c r="TMF38" s="85"/>
      <c r="TMG38" s="85"/>
      <c r="TMH38" s="85"/>
      <c r="TMI38" s="85"/>
      <c r="TMJ38" s="85"/>
      <c r="TMK38" s="85"/>
      <c r="TML38" s="85"/>
      <c r="TMM38" s="85"/>
      <c r="TMN38" s="85"/>
      <c r="TMO38" s="85"/>
      <c r="TMP38" s="85"/>
      <c r="TMQ38" s="85"/>
      <c r="TMR38" s="85"/>
      <c r="TMS38" s="85"/>
      <c r="TMT38" s="85"/>
      <c r="TMU38" s="85"/>
      <c r="TMV38" s="85"/>
      <c r="TMW38" s="85"/>
      <c r="TMX38" s="85"/>
      <c r="TMY38" s="85"/>
      <c r="TMZ38" s="85"/>
      <c r="TNA38" s="85"/>
      <c r="TNB38" s="85"/>
      <c r="TNC38" s="85"/>
      <c r="TND38" s="85"/>
      <c r="TNE38" s="85"/>
      <c r="TNF38" s="85"/>
      <c r="TNG38" s="85"/>
      <c r="TNH38" s="85"/>
      <c r="TNI38" s="85"/>
      <c r="TNJ38" s="85"/>
      <c r="TNK38" s="85"/>
      <c r="TNL38" s="85"/>
      <c r="TNM38" s="85"/>
      <c r="TNN38" s="85"/>
      <c r="TNO38" s="85"/>
      <c r="TNP38" s="85"/>
      <c r="TNQ38" s="85"/>
      <c r="TNR38" s="85"/>
      <c r="TNS38" s="85"/>
      <c r="TNT38" s="85"/>
      <c r="TNU38" s="85"/>
      <c r="TNV38" s="85"/>
      <c r="TNW38" s="85"/>
      <c r="TNX38" s="85"/>
      <c r="TNY38" s="85"/>
      <c r="TNZ38" s="85"/>
      <c r="TOA38" s="85"/>
      <c r="TOB38" s="85"/>
      <c r="TOC38" s="85"/>
      <c r="TOD38" s="85"/>
      <c r="TOE38" s="85"/>
      <c r="TOF38" s="85"/>
      <c r="TOG38" s="85"/>
      <c r="TOH38" s="85"/>
      <c r="TOI38" s="85"/>
      <c r="TOJ38" s="85"/>
      <c r="TOK38" s="85"/>
      <c r="TOL38" s="85"/>
      <c r="TOM38" s="85"/>
      <c r="TON38" s="85"/>
      <c r="TOO38" s="85"/>
      <c r="TOP38" s="85"/>
      <c r="TOQ38" s="85"/>
      <c r="TOR38" s="85"/>
      <c r="TOS38" s="85"/>
      <c r="TOT38" s="85"/>
      <c r="TOU38" s="85"/>
      <c r="TOV38" s="85"/>
      <c r="TOW38" s="85"/>
      <c r="TOX38" s="85"/>
      <c r="TOY38" s="85"/>
      <c r="TOZ38" s="85"/>
      <c r="TPA38" s="85"/>
      <c r="TPB38" s="85"/>
      <c r="TPC38" s="85"/>
      <c r="TPD38" s="85"/>
      <c r="TPE38" s="85"/>
      <c r="TPF38" s="85"/>
      <c r="TPG38" s="85"/>
      <c r="TPH38" s="85"/>
      <c r="TPI38" s="85"/>
      <c r="TPJ38" s="85"/>
      <c r="TPK38" s="85"/>
      <c r="TPL38" s="85"/>
      <c r="TPM38" s="85"/>
      <c r="TPN38" s="85"/>
      <c r="TPO38" s="85"/>
      <c r="TPP38" s="85"/>
      <c r="TPQ38" s="85"/>
      <c r="TPR38" s="85"/>
      <c r="TPS38" s="85"/>
      <c r="TPT38" s="85"/>
      <c r="TPU38" s="85"/>
      <c r="TPV38" s="85"/>
      <c r="TPW38" s="85"/>
      <c r="TPX38" s="85"/>
      <c r="TPY38" s="85"/>
      <c r="TPZ38" s="85"/>
      <c r="TQA38" s="85"/>
      <c r="TQB38" s="85"/>
      <c r="TQC38" s="85"/>
      <c r="TQD38" s="85"/>
      <c r="TQE38" s="85"/>
      <c r="TQF38" s="85"/>
      <c r="TQG38" s="85"/>
      <c r="TQH38" s="85"/>
      <c r="TQI38" s="85"/>
      <c r="TQJ38" s="85"/>
      <c r="TQK38" s="85"/>
      <c r="TQL38" s="85"/>
      <c r="TQM38" s="85"/>
      <c r="TQN38" s="85"/>
      <c r="TQO38" s="85"/>
      <c r="TQP38" s="85"/>
      <c r="TQQ38" s="85"/>
      <c r="TQR38" s="85"/>
      <c r="TQS38" s="85"/>
      <c r="TQT38" s="85"/>
      <c r="TQU38" s="85"/>
      <c r="TQV38" s="85"/>
      <c r="TQW38" s="85"/>
      <c r="TQX38" s="85"/>
      <c r="TQY38" s="85"/>
      <c r="TQZ38" s="85"/>
      <c r="TRA38" s="85"/>
      <c r="TRB38" s="85"/>
      <c r="TRC38" s="85"/>
      <c r="TRD38" s="85"/>
      <c r="TRE38" s="85"/>
      <c r="TRF38" s="85"/>
      <c r="TRG38" s="85"/>
      <c r="TRH38" s="85"/>
      <c r="TRI38" s="85"/>
      <c r="TRJ38" s="85"/>
      <c r="TRK38" s="85"/>
      <c r="TRL38" s="85"/>
      <c r="TRM38" s="85"/>
      <c r="TRN38" s="85"/>
      <c r="TRO38" s="85"/>
      <c r="TRP38" s="85"/>
      <c r="TRQ38" s="85"/>
      <c r="TRR38" s="85"/>
      <c r="TRS38" s="85"/>
      <c r="TRT38" s="85"/>
      <c r="TRU38" s="85"/>
      <c r="TRV38" s="85"/>
      <c r="TRW38" s="85"/>
      <c r="TRX38" s="85"/>
      <c r="TRY38" s="85"/>
      <c r="TRZ38" s="85"/>
      <c r="TSA38" s="85"/>
      <c r="TSB38" s="85"/>
      <c r="TSC38" s="85"/>
      <c r="TSD38" s="85"/>
      <c r="TSE38" s="85"/>
      <c r="TSF38" s="85"/>
      <c r="TSG38" s="85"/>
      <c r="TSH38" s="85"/>
      <c r="TSI38" s="85"/>
      <c r="TSJ38" s="85"/>
      <c r="TSK38" s="85"/>
      <c r="TSL38" s="85"/>
      <c r="TSM38" s="85"/>
      <c r="TSN38" s="85"/>
      <c r="TSO38" s="85"/>
      <c r="TSP38" s="85"/>
      <c r="TSQ38" s="85"/>
      <c r="TSR38" s="85"/>
      <c r="TSS38" s="85"/>
      <c r="TST38" s="85"/>
      <c r="TSU38" s="85"/>
      <c r="TSV38" s="85"/>
      <c r="TSW38" s="85"/>
      <c r="TSX38" s="85"/>
      <c r="TSY38" s="85"/>
      <c r="TSZ38" s="85"/>
      <c r="TTA38" s="85"/>
      <c r="TTB38" s="85"/>
      <c r="TTC38" s="85"/>
      <c r="TTD38" s="85"/>
      <c r="TTE38" s="85"/>
      <c r="TTF38" s="85"/>
      <c r="TTG38" s="85"/>
      <c r="TTH38" s="85"/>
      <c r="TTI38" s="85"/>
      <c r="TTJ38" s="85"/>
      <c r="TTK38" s="85"/>
      <c r="TTL38" s="85"/>
      <c r="TTM38" s="85"/>
      <c r="TTN38" s="85"/>
      <c r="TTO38" s="85"/>
      <c r="TTP38" s="85"/>
      <c r="TTQ38" s="85"/>
      <c r="TTR38" s="85"/>
      <c r="TTS38" s="85"/>
      <c r="TTT38" s="85"/>
      <c r="TTU38" s="85"/>
      <c r="TTV38" s="85"/>
      <c r="TTW38" s="85"/>
      <c r="TTX38" s="85"/>
      <c r="TTY38" s="85"/>
      <c r="TTZ38" s="85"/>
      <c r="TUA38" s="85"/>
      <c r="TUB38" s="85"/>
      <c r="TUC38" s="85"/>
      <c r="TUD38" s="85"/>
      <c r="TUE38" s="85"/>
      <c r="TUF38" s="85"/>
      <c r="TUG38" s="85"/>
      <c r="TUH38" s="85"/>
      <c r="TUI38" s="85"/>
      <c r="TUJ38" s="85"/>
      <c r="TUK38" s="85"/>
      <c r="TUL38" s="85"/>
      <c r="TUM38" s="85"/>
      <c r="TUN38" s="85"/>
      <c r="TUO38" s="85"/>
      <c r="TUP38" s="85"/>
      <c r="TUQ38" s="85"/>
      <c r="TUR38" s="85"/>
      <c r="TUS38" s="85"/>
      <c r="TUT38" s="85"/>
      <c r="TUU38" s="85"/>
      <c r="TUV38" s="85"/>
      <c r="TUW38" s="85"/>
      <c r="TUX38" s="85"/>
      <c r="TUY38" s="85"/>
      <c r="TUZ38" s="85"/>
      <c r="TVA38" s="85"/>
      <c r="TVB38" s="85"/>
      <c r="TVC38" s="85"/>
      <c r="TVD38" s="85"/>
      <c r="TVE38" s="85"/>
      <c r="TVF38" s="85"/>
      <c r="TVG38" s="85"/>
      <c r="TVH38" s="85"/>
      <c r="TVI38" s="85"/>
      <c r="TVJ38" s="85"/>
      <c r="TVK38" s="85"/>
      <c r="TVL38" s="85"/>
      <c r="TVM38" s="85"/>
      <c r="TVN38" s="85"/>
      <c r="TVO38" s="85"/>
      <c r="TVP38" s="85"/>
      <c r="TVQ38" s="85"/>
      <c r="TVR38" s="85"/>
      <c r="TVS38" s="85"/>
      <c r="TVT38" s="85"/>
      <c r="TVU38" s="85"/>
      <c r="TVV38" s="85"/>
      <c r="TVW38" s="85"/>
      <c r="TVX38" s="85"/>
      <c r="TVY38" s="85"/>
      <c r="TVZ38" s="85"/>
      <c r="TWA38" s="85"/>
      <c r="TWB38" s="85"/>
      <c r="TWC38" s="85"/>
      <c r="TWD38" s="85"/>
      <c r="TWE38" s="85"/>
      <c r="TWF38" s="85"/>
      <c r="TWG38" s="85"/>
      <c r="TWH38" s="85"/>
      <c r="TWI38" s="85"/>
      <c r="TWJ38" s="85"/>
      <c r="TWK38" s="85"/>
      <c r="TWL38" s="85"/>
      <c r="TWM38" s="85"/>
      <c r="TWN38" s="85"/>
      <c r="TWO38" s="85"/>
      <c r="TWP38" s="85"/>
      <c r="TWQ38" s="85"/>
      <c r="TWR38" s="85"/>
      <c r="TWS38" s="85"/>
      <c r="TWT38" s="85"/>
      <c r="TWU38" s="85"/>
      <c r="TWV38" s="85"/>
      <c r="TWW38" s="85"/>
      <c r="TWX38" s="85"/>
      <c r="TWY38" s="85"/>
      <c r="TWZ38" s="85"/>
      <c r="TXA38" s="85"/>
      <c r="TXB38" s="85"/>
      <c r="TXC38" s="85"/>
      <c r="TXD38" s="85"/>
      <c r="TXE38" s="85"/>
      <c r="TXF38" s="85"/>
      <c r="TXG38" s="85"/>
      <c r="TXH38" s="85"/>
      <c r="TXI38" s="85"/>
      <c r="TXJ38" s="85"/>
      <c r="TXK38" s="85"/>
      <c r="TXL38" s="85"/>
      <c r="TXM38" s="85"/>
      <c r="TXN38" s="85"/>
      <c r="TXO38" s="85"/>
      <c r="TXP38" s="85"/>
      <c r="TXQ38" s="85"/>
      <c r="TXR38" s="85"/>
      <c r="TXS38" s="85"/>
      <c r="TXT38" s="85"/>
      <c r="TXU38" s="85"/>
      <c r="TXV38" s="85"/>
      <c r="TXW38" s="85"/>
      <c r="TXX38" s="85"/>
      <c r="TXY38" s="85"/>
      <c r="TXZ38" s="85"/>
      <c r="TYA38" s="85"/>
      <c r="TYB38" s="85"/>
      <c r="TYC38" s="85"/>
      <c r="TYD38" s="85"/>
      <c r="TYE38" s="85"/>
      <c r="TYF38" s="85"/>
      <c r="TYG38" s="85"/>
      <c r="TYH38" s="85"/>
      <c r="TYI38" s="85"/>
      <c r="TYJ38" s="85"/>
      <c r="TYK38" s="85"/>
      <c r="TYL38" s="85"/>
      <c r="TYM38" s="85"/>
      <c r="TYN38" s="85"/>
      <c r="TYO38" s="85"/>
      <c r="TYP38" s="85"/>
      <c r="TYQ38" s="85"/>
      <c r="TYR38" s="85"/>
      <c r="TYS38" s="85"/>
      <c r="TYT38" s="85"/>
      <c r="TYU38" s="85"/>
      <c r="TYV38" s="85"/>
      <c r="TYW38" s="85"/>
      <c r="TYX38" s="85"/>
      <c r="TYY38" s="85"/>
      <c r="TYZ38" s="85"/>
      <c r="TZA38" s="85"/>
      <c r="TZB38" s="85"/>
      <c r="TZC38" s="85"/>
      <c r="TZD38" s="85"/>
      <c r="TZE38" s="85"/>
      <c r="TZF38" s="85"/>
      <c r="TZG38" s="85"/>
      <c r="TZH38" s="85"/>
      <c r="TZI38" s="85"/>
      <c r="TZJ38" s="85"/>
      <c r="TZK38" s="85"/>
      <c r="TZL38" s="85"/>
      <c r="TZM38" s="85"/>
      <c r="TZN38" s="85"/>
      <c r="TZO38" s="85"/>
      <c r="TZP38" s="85"/>
      <c r="TZQ38" s="85"/>
      <c r="TZR38" s="85"/>
      <c r="TZS38" s="85"/>
      <c r="TZT38" s="85"/>
      <c r="TZU38" s="85"/>
      <c r="TZV38" s="85"/>
      <c r="TZW38" s="85"/>
      <c r="TZX38" s="85"/>
      <c r="TZY38" s="85"/>
      <c r="TZZ38" s="85"/>
      <c r="UAA38" s="85"/>
      <c r="UAB38" s="85"/>
      <c r="UAC38" s="85"/>
      <c r="UAD38" s="85"/>
      <c r="UAE38" s="85"/>
      <c r="UAF38" s="85"/>
      <c r="UAG38" s="85"/>
      <c r="UAH38" s="85"/>
      <c r="UAI38" s="85"/>
      <c r="UAJ38" s="85"/>
      <c r="UAK38" s="85"/>
      <c r="UAL38" s="85"/>
      <c r="UAM38" s="85"/>
      <c r="UAN38" s="85"/>
      <c r="UAO38" s="85"/>
      <c r="UAP38" s="85"/>
      <c r="UAQ38" s="85"/>
      <c r="UAR38" s="85"/>
      <c r="UAS38" s="85"/>
      <c r="UAT38" s="85"/>
      <c r="UAU38" s="85"/>
      <c r="UAV38" s="85"/>
      <c r="UAW38" s="85"/>
      <c r="UAX38" s="85"/>
      <c r="UAY38" s="85"/>
      <c r="UAZ38" s="85"/>
      <c r="UBA38" s="85"/>
      <c r="UBB38" s="85"/>
      <c r="UBC38" s="85"/>
      <c r="UBD38" s="85"/>
      <c r="UBE38" s="85"/>
      <c r="UBF38" s="85"/>
      <c r="UBG38" s="85"/>
      <c r="UBH38" s="85"/>
      <c r="UBI38" s="85"/>
      <c r="UBJ38" s="85"/>
      <c r="UBK38" s="85"/>
      <c r="UBL38" s="85"/>
      <c r="UBM38" s="85"/>
      <c r="UBN38" s="85"/>
      <c r="UBO38" s="85"/>
      <c r="UBP38" s="85"/>
      <c r="UBQ38" s="85"/>
      <c r="UBR38" s="85"/>
      <c r="UBS38" s="85"/>
      <c r="UBT38" s="85"/>
      <c r="UBU38" s="85"/>
      <c r="UBV38" s="85"/>
      <c r="UBW38" s="85"/>
      <c r="UBX38" s="85"/>
      <c r="UBY38" s="85"/>
      <c r="UBZ38" s="85"/>
      <c r="UCA38" s="85"/>
      <c r="UCB38" s="85"/>
      <c r="UCC38" s="85"/>
      <c r="UCD38" s="85"/>
      <c r="UCE38" s="85"/>
      <c r="UCF38" s="85"/>
      <c r="UCG38" s="85"/>
      <c r="UCH38" s="85"/>
      <c r="UCI38" s="85"/>
      <c r="UCJ38" s="85"/>
      <c r="UCK38" s="85"/>
      <c r="UCL38" s="85"/>
      <c r="UCM38" s="85"/>
      <c r="UCN38" s="85"/>
      <c r="UCO38" s="85"/>
      <c r="UCP38" s="85"/>
      <c r="UCQ38" s="85"/>
      <c r="UCR38" s="85"/>
      <c r="UCS38" s="85"/>
      <c r="UCT38" s="85"/>
      <c r="UCU38" s="85"/>
      <c r="UCV38" s="85"/>
      <c r="UCW38" s="85"/>
      <c r="UCX38" s="85"/>
      <c r="UCY38" s="85"/>
      <c r="UCZ38" s="85"/>
      <c r="UDA38" s="85"/>
      <c r="UDB38" s="85"/>
      <c r="UDC38" s="85"/>
      <c r="UDD38" s="85"/>
      <c r="UDE38" s="85"/>
      <c r="UDF38" s="85"/>
      <c r="UDG38" s="85"/>
      <c r="UDH38" s="85"/>
      <c r="UDI38" s="85"/>
      <c r="UDJ38" s="85"/>
      <c r="UDK38" s="85"/>
      <c r="UDL38" s="85"/>
      <c r="UDM38" s="85"/>
      <c r="UDN38" s="85"/>
      <c r="UDO38" s="85"/>
      <c r="UDP38" s="85"/>
      <c r="UDQ38" s="85"/>
      <c r="UDR38" s="85"/>
      <c r="UDS38" s="85"/>
      <c r="UDT38" s="85"/>
      <c r="UDU38" s="85"/>
      <c r="UDV38" s="85"/>
      <c r="UDW38" s="85"/>
      <c r="UDX38" s="85"/>
      <c r="UDY38" s="85"/>
      <c r="UDZ38" s="85"/>
      <c r="UEA38" s="85"/>
      <c r="UEB38" s="85"/>
      <c r="UEC38" s="85"/>
      <c r="UED38" s="85"/>
      <c r="UEE38" s="85"/>
      <c r="UEF38" s="85"/>
      <c r="UEG38" s="85"/>
      <c r="UEH38" s="85"/>
      <c r="UEI38" s="85"/>
      <c r="UEJ38" s="85"/>
      <c r="UEK38" s="85"/>
      <c r="UEL38" s="85"/>
      <c r="UEM38" s="85"/>
      <c r="UEN38" s="85"/>
      <c r="UEO38" s="85"/>
      <c r="UEP38" s="85"/>
      <c r="UEQ38" s="85"/>
      <c r="UER38" s="85"/>
      <c r="UES38" s="85"/>
      <c r="UET38" s="85"/>
      <c r="UEU38" s="85"/>
      <c r="UEV38" s="85"/>
      <c r="UEW38" s="85"/>
      <c r="UEX38" s="85"/>
      <c r="UEY38" s="85"/>
      <c r="UEZ38" s="85"/>
      <c r="UFA38" s="85"/>
      <c r="UFB38" s="85"/>
      <c r="UFC38" s="85"/>
      <c r="UFD38" s="85"/>
      <c r="UFE38" s="85"/>
      <c r="UFF38" s="85"/>
      <c r="UFG38" s="85"/>
      <c r="UFH38" s="85"/>
      <c r="UFI38" s="85"/>
      <c r="UFJ38" s="85"/>
      <c r="UFK38" s="85"/>
      <c r="UFL38" s="85"/>
      <c r="UFM38" s="85"/>
      <c r="UFN38" s="85"/>
      <c r="UFO38" s="85"/>
      <c r="UFP38" s="85"/>
      <c r="UFQ38" s="85"/>
      <c r="UFR38" s="85"/>
      <c r="UFS38" s="85"/>
      <c r="UFT38" s="85"/>
      <c r="UFU38" s="85"/>
      <c r="UFV38" s="85"/>
      <c r="UFW38" s="85"/>
      <c r="UFX38" s="85"/>
      <c r="UFY38" s="85"/>
      <c r="UFZ38" s="85"/>
      <c r="UGA38" s="85"/>
      <c r="UGB38" s="85"/>
      <c r="UGC38" s="85"/>
      <c r="UGD38" s="85"/>
      <c r="UGE38" s="85"/>
      <c r="UGF38" s="85"/>
      <c r="UGG38" s="85"/>
      <c r="UGH38" s="85"/>
      <c r="UGI38" s="85"/>
      <c r="UGJ38" s="85"/>
      <c r="UGK38" s="85"/>
      <c r="UGL38" s="85"/>
      <c r="UGM38" s="85"/>
      <c r="UGN38" s="85"/>
      <c r="UGO38" s="85"/>
      <c r="UGP38" s="85"/>
      <c r="UGQ38" s="85"/>
      <c r="UGR38" s="85"/>
      <c r="UGS38" s="85"/>
      <c r="UGT38" s="85"/>
      <c r="UGU38" s="85"/>
      <c r="UGV38" s="85"/>
      <c r="UGW38" s="85"/>
      <c r="UGX38" s="85"/>
      <c r="UGY38" s="85"/>
      <c r="UGZ38" s="85"/>
      <c r="UHA38" s="85"/>
      <c r="UHB38" s="85"/>
      <c r="UHC38" s="85"/>
      <c r="UHD38" s="85"/>
      <c r="UHE38" s="85"/>
      <c r="UHF38" s="85"/>
      <c r="UHG38" s="85"/>
      <c r="UHH38" s="85"/>
      <c r="UHI38" s="85"/>
      <c r="UHJ38" s="85"/>
      <c r="UHK38" s="85"/>
      <c r="UHL38" s="85"/>
      <c r="UHM38" s="85"/>
      <c r="UHN38" s="85"/>
      <c r="UHO38" s="85"/>
      <c r="UHP38" s="85"/>
      <c r="UHQ38" s="85"/>
      <c r="UHR38" s="85"/>
      <c r="UHS38" s="85"/>
      <c r="UHT38" s="85"/>
      <c r="UHU38" s="85"/>
      <c r="UHV38" s="85"/>
      <c r="UHW38" s="85"/>
      <c r="UHX38" s="85"/>
      <c r="UHY38" s="85"/>
      <c r="UHZ38" s="85"/>
      <c r="UIA38" s="85"/>
      <c r="UIB38" s="85"/>
      <c r="UIC38" s="85"/>
      <c r="UID38" s="85"/>
      <c r="UIE38" s="85"/>
      <c r="UIF38" s="85"/>
      <c r="UIG38" s="85"/>
      <c r="UIH38" s="85"/>
      <c r="UII38" s="85"/>
      <c r="UIJ38" s="85"/>
      <c r="UIK38" s="85"/>
      <c r="UIL38" s="85"/>
      <c r="UIM38" s="85"/>
      <c r="UIN38" s="85"/>
      <c r="UIO38" s="85"/>
      <c r="UIP38" s="85"/>
      <c r="UIQ38" s="85"/>
      <c r="UIR38" s="85"/>
      <c r="UIS38" s="85"/>
      <c r="UIT38" s="85"/>
      <c r="UIU38" s="85"/>
      <c r="UIV38" s="85"/>
      <c r="UIW38" s="85"/>
      <c r="UIX38" s="85"/>
      <c r="UIY38" s="85"/>
      <c r="UIZ38" s="85"/>
      <c r="UJA38" s="85"/>
      <c r="UJB38" s="85"/>
      <c r="UJC38" s="85"/>
      <c r="UJD38" s="85"/>
      <c r="UJE38" s="85"/>
      <c r="UJF38" s="85"/>
      <c r="UJG38" s="85"/>
      <c r="UJH38" s="85"/>
      <c r="UJI38" s="85"/>
      <c r="UJJ38" s="85"/>
      <c r="UJK38" s="85"/>
      <c r="UJL38" s="85"/>
      <c r="UJM38" s="85"/>
      <c r="UJN38" s="85"/>
      <c r="UJO38" s="85"/>
      <c r="UJP38" s="85"/>
      <c r="UJQ38" s="85"/>
      <c r="UJR38" s="85"/>
      <c r="UJS38" s="85"/>
      <c r="UJT38" s="85"/>
      <c r="UJU38" s="85"/>
      <c r="UJV38" s="85"/>
      <c r="UJW38" s="85"/>
      <c r="UJX38" s="85"/>
      <c r="UJY38" s="85"/>
      <c r="UJZ38" s="85"/>
      <c r="UKA38" s="85"/>
      <c r="UKB38" s="85"/>
      <c r="UKC38" s="85"/>
      <c r="UKD38" s="85"/>
      <c r="UKE38" s="85"/>
      <c r="UKF38" s="85"/>
      <c r="UKG38" s="85"/>
      <c r="UKH38" s="85"/>
      <c r="UKI38" s="85"/>
      <c r="UKJ38" s="85"/>
      <c r="UKK38" s="85"/>
      <c r="UKL38" s="85"/>
      <c r="UKM38" s="85"/>
      <c r="UKN38" s="85"/>
      <c r="UKO38" s="85"/>
      <c r="UKP38" s="85"/>
      <c r="UKQ38" s="85"/>
      <c r="UKR38" s="85"/>
      <c r="UKS38" s="85"/>
      <c r="UKT38" s="85"/>
      <c r="UKU38" s="85"/>
      <c r="UKV38" s="85"/>
      <c r="UKW38" s="85"/>
      <c r="UKX38" s="85"/>
      <c r="UKY38" s="85"/>
      <c r="UKZ38" s="85"/>
      <c r="ULA38" s="85"/>
      <c r="ULB38" s="85"/>
      <c r="ULC38" s="85"/>
      <c r="ULD38" s="85"/>
      <c r="ULE38" s="85"/>
      <c r="ULF38" s="85"/>
      <c r="ULG38" s="85"/>
      <c r="ULH38" s="85"/>
      <c r="ULI38" s="85"/>
      <c r="ULJ38" s="85"/>
      <c r="ULK38" s="85"/>
      <c r="ULL38" s="85"/>
      <c r="ULM38" s="85"/>
      <c r="ULN38" s="85"/>
      <c r="ULO38" s="85"/>
      <c r="ULP38" s="85"/>
      <c r="ULQ38" s="85"/>
      <c r="ULR38" s="85"/>
      <c r="ULS38" s="85"/>
      <c r="ULT38" s="85"/>
      <c r="ULU38" s="85"/>
      <c r="ULV38" s="85"/>
      <c r="ULW38" s="85"/>
      <c r="ULX38" s="85"/>
      <c r="ULY38" s="85"/>
      <c r="ULZ38" s="85"/>
      <c r="UMA38" s="85"/>
      <c r="UMB38" s="85"/>
      <c r="UMC38" s="85"/>
      <c r="UMD38" s="85"/>
      <c r="UME38" s="85"/>
      <c r="UMF38" s="85"/>
      <c r="UMG38" s="85"/>
      <c r="UMH38" s="85"/>
      <c r="UMI38" s="85"/>
      <c r="UMJ38" s="85"/>
      <c r="UMK38" s="85"/>
      <c r="UML38" s="85"/>
      <c r="UMM38" s="85"/>
      <c r="UMN38" s="85"/>
      <c r="UMO38" s="85"/>
      <c r="UMP38" s="85"/>
      <c r="UMQ38" s="85"/>
      <c r="UMR38" s="85"/>
      <c r="UMS38" s="85"/>
      <c r="UMT38" s="85"/>
      <c r="UMU38" s="85"/>
      <c r="UMV38" s="85"/>
      <c r="UMW38" s="85"/>
      <c r="UMX38" s="85"/>
      <c r="UMY38" s="85"/>
      <c r="UMZ38" s="85"/>
      <c r="UNA38" s="85"/>
      <c r="UNB38" s="85"/>
      <c r="UNC38" s="85"/>
      <c r="UND38" s="85"/>
      <c r="UNE38" s="85"/>
      <c r="UNF38" s="85"/>
      <c r="UNG38" s="85"/>
      <c r="UNH38" s="85"/>
      <c r="UNI38" s="85"/>
      <c r="UNJ38" s="85"/>
      <c r="UNK38" s="85"/>
      <c r="UNL38" s="85"/>
      <c r="UNM38" s="85"/>
      <c r="UNN38" s="85"/>
      <c r="UNO38" s="85"/>
      <c r="UNP38" s="85"/>
      <c r="UNQ38" s="85"/>
      <c r="UNR38" s="85"/>
      <c r="UNS38" s="85"/>
      <c r="UNT38" s="85"/>
      <c r="UNU38" s="85"/>
      <c r="UNV38" s="85"/>
      <c r="UNW38" s="85"/>
      <c r="UNX38" s="85"/>
      <c r="UNY38" s="85"/>
      <c r="UNZ38" s="85"/>
      <c r="UOA38" s="85"/>
      <c r="UOB38" s="85"/>
      <c r="UOC38" s="85"/>
      <c r="UOD38" s="85"/>
      <c r="UOE38" s="85"/>
      <c r="UOF38" s="85"/>
      <c r="UOG38" s="85"/>
      <c r="UOH38" s="85"/>
      <c r="UOI38" s="85"/>
      <c r="UOJ38" s="85"/>
      <c r="UOK38" s="85"/>
      <c r="UOL38" s="85"/>
      <c r="UOM38" s="85"/>
      <c r="UON38" s="85"/>
      <c r="UOO38" s="85"/>
      <c r="UOP38" s="85"/>
      <c r="UOQ38" s="85"/>
      <c r="UOR38" s="85"/>
      <c r="UOS38" s="85"/>
      <c r="UOT38" s="85"/>
      <c r="UOU38" s="85"/>
      <c r="UOV38" s="85"/>
      <c r="UOW38" s="85"/>
      <c r="UOX38" s="85"/>
      <c r="UOY38" s="85"/>
      <c r="UOZ38" s="85"/>
      <c r="UPA38" s="85"/>
      <c r="UPB38" s="85"/>
      <c r="UPC38" s="85"/>
      <c r="UPD38" s="85"/>
      <c r="UPE38" s="85"/>
      <c r="UPF38" s="85"/>
      <c r="UPG38" s="85"/>
      <c r="UPH38" s="85"/>
      <c r="UPI38" s="85"/>
      <c r="UPJ38" s="85"/>
      <c r="UPK38" s="85"/>
      <c r="UPL38" s="85"/>
      <c r="UPM38" s="85"/>
      <c r="UPN38" s="85"/>
      <c r="UPO38" s="85"/>
      <c r="UPP38" s="85"/>
      <c r="UPQ38" s="85"/>
      <c r="UPR38" s="85"/>
      <c r="UPS38" s="85"/>
      <c r="UPT38" s="85"/>
      <c r="UPU38" s="85"/>
      <c r="UPV38" s="85"/>
      <c r="UPW38" s="85"/>
      <c r="UPX38" s="85"/>
      <c r="UPY38" s="85"/>
      <c r="UPZ38" s="85"/>
      <c r="UQA38" s="85"/>
      <c r="UQB38" s="85"/>
      <c r="UQC38" s="85"/>
      <c r="UQD38" s="85"/>
      <c r="UQE38" s="85"/>
      <c r="UQF38" s="85"/>
      <c r="UQG38" s="85"/>
      <c r="UQH38" s="85"/>
      <c r="UQI38" s="85"/>
      <c r="UQJ38" s="85"/>
      <c r="UQK38" s="85"/>
      <c r="UQL38" s="85"/>
      <c r="UQM38" s="85"/>
      <c r="UQN38" s="85"/>
      <c r="UQO38" s="85"/>
      <c r="UQP38" s="85"/>
      <c r="UQQ38" s="85"/>
      <c r="UQR38" s="85"/>
      <c r="UQS38" s="85"/>
      <c r="UQT38" s="85"/>
      <c r="UQU38" s="85"/>
      <c r="UQV38" s="85"/>
      <c r="UQW38" s="85"/>
      <c r="UQX38" s="85"/>
      <c r="UQY38" s="85"/>
      <c r="UQZ38" s="85"/>
      <c r="URA38" s="85"/>
      <c r="URB38" s="85"/>
      <c r="URC38" s="85"/>
      <c r="URD38" s="85"/>
      <c r="URE38" s="85"/>
      <c r="URF38" s="85"/>
      <c r="URG38" s="85"/>
      <c r="URH38" s="85"/>
      <c r="URI38" s="85"/>
      <c r="URJ38" s="85"/>
      <c r="URK38" s="85"/>
      <c r="URL38" s="85"/>
      <c r="URM38" s="85"/>
      <c r="URN38" s="85"/>
      <c r="URO38" s="85"/>
      <c r="URP38" s="85"/>
      <c r="URQ38" s="85"/>
      <c r="URR38" s="85"/>
      <c r="URS38" s="85"/>
      <c r="URT38" s="85"/>
      <c r="URU38" s="85"/>
      <c r="URV38" s="85"/>
      <c r="URW38" s="85"/>
      <c r="URX38" s="85"/>
      <c r="URY38" s="85"/>
      <c r="URZ38" s="85"/>
      <c r="USA38" s="85"/>
      <c r="USB38" s="85"/>
      <c r="USC38" s="85"/>
      <c r="USD38" s="85"/>
      <c r="USE38" s="85"/>
      <c r="USF38" s="85"/>
      <c r="USG38" s="85"/>
      <c r="USH38" s="85"/>
      <c r="USI38" s="85"/>
      <c r="USJ38" s="85"/>
      <c r="USK38" s="85"/>
      <c r="USL38" s="85"/>
      <c r="USM38" s="85"/>
      <c r="USN38" s="85"/>
      <c r="USO38" s="85"/>
      <c r="USP38" s="85"/>
      <c r="USQ38" s="85"/>
      <c r="USR38" s="85"/>
      <c r="USS38" s="85"/>
      <c r="UST38" s="85"/>
      <c r="USU38" s="85"/>
      <c r="USV38" s="85"/>
      <c r="USW38" s="85"/>
      <c r="USX38" s="85"/>
      <c r="USY38" s="85"/>
      <c r="USZ38" s="85"/>
      <c r="UTA38" s="85"/>
      <c r="UTB38" s="85"/>
      <c r="UTC38" s="85"/>
      <c r="UTD38" s="85"/>
      <c r="UTE38" s="85"/>
      <c r="UTF38" s="85"/>
      <c r="UTG38" s="85"/>
      <c r="UTH38" s="85"/>
      <c r="UTI38" s="85"/>
      <c r="UTJ38" s="85"/>
      <c r="UTK38" s="85"/>
      <c r="UTL38" s="85"/>
      <c r="UTM38" s="85"/>
      <c r="UTN38" s="85"/>
      <c r="UTO38" s="85"/>
      <c r="UTP38" s="85"/>
      <c r="UTQ38" s="85"/>
      <c r="UTR38" s="85"/>
      <c r="UTS38" s="85"/>
      <c r="UTT38" s="85"/>
      <c r="UTU38" s="85"/>
      <c r="UTV38" s="85"/>
      <c r="UTW38" s="85"/>
      <c r="UTX38" s="85"/>
      <c r="UTY38" s="85"/>
      <c r="UTZ38" s="85"/>
      <c r="UUA38" s="85"/>
      <c r="UUB38" s="85"/>
      <c r="UUC38" s="85"/>
      <c r="UUD38" s="85"/>
      <c r="UUE38" s="85"/>
      <c r="UUF38" s="85"/>
      <c r="UUG38" s="85"/>
      <c r="UUH38" s="85"/>
      <c r="UUI38" s="85"/>
      <c r="UUJ38" s="85"/>
      <c r="UUK38" s="85"/>
      <c r="UUL38" s="85"/>
      <c r="UUM38" s="85"/>
      <c r="UUN38" s="85"/>
      <c r="UUO38" s="85"/>
      <c r="UUP38" s="85"/>
      <c r="UUQ38" s="85"/>
      <c r="UUR38" s="85"/>
      <c r="UUS38" s="85"/>
      <c r="UUT38" s="85"/>
      <c r="UUU38" s="85"/>
      <c r="UUV38" s="85"/>
      <c r="UUW38" s="85"/>
      <c r="UUX38" s="85"/>
      <c r="UUY38" s="85"/>
      <c r="UUZ38" s="85"/>
      <c r="UVA38" s="85"/>
      <c r="UVB38" s="85"/>
      <c r="UVC38" s="85"/>
      <c r="UVD38" s="85"/>
      <c r="UVE38" s="85"/>
      <c r="UVF38" s="85"/>
      <c r="UVG38" s="85"/>
      <c r="UVH38" s="85"/>
      <c r="UVI38" s="85"/>
      <c r="UVJ38" s="85"/>
      <c r="UVK38" s="85"/>
      <c r="UVL38" s="85"/>
      <c r="UVM38" s="85"/>
      <c r="UVN38" s="85"/>
      <c r="UVO38" s="85"/>
      <c r="UVP38" s="85"/>
      <c r="UVQ38" s="85"/>
      <c r="UVR38" s="85"/>
      <c r="UVS38" s="85"/>
      <c r="UVT38" s="85"/>
      <c r="UVU38" s="85"/>
      <c r="UVV38" s="85"/>
      <c r="UVW38" s="85"/>
      <c r="UVX38" s="85"/>
      <c r="UVY38" s="85"/>
      <c r="UVZ38" s="85"/>
      <c r="UWA38" s="85"/>
      <c r="UWB38" s="85"/>
      <c r="UWC38" s="85"/>
      <c r="UWD38" s="85"/>
      <c r="UWE38" s="85"/>
      <c r="UWF38" s="85"/>
      <c r="UWG38" s="85"/>
      <c r="UWH38" s="85"/>
      <c r="UWI38" s="85"/>
      <c r="UWJ38" s="85"/>
      <c r="UWK38" s="85"/>
      <c r="UWL38" s="85"/>
      <c r="UWM38" s="85"/>
      <c r="UWN38" s="85"/>
      <c r="UWO38" s="85"/>
      <c r="UWP38" s="85"/>
      <c r="UWQ38" s="85"/>
      <c r="UWR38" s="85"/>
      <c r="UWS38" s="85"/>
      <c r="UWT38" s="85"/>
      <c r="UWU38" s="85"/>
      <c r="UWV38" s="85"/>
      <c r="UWW38" s="85"/>
      <c r="UWX38" s="85"/>
      <c r="UWY38" s="85"/>
      <c r="UWZ38" s="85"/>
      <c r="UXA38" s="85"/>
      <c r="UXB38" s="85"/>
      <c r="UXC38" s="85"/>
      <c r="UXD38" s="85"/>
      <c r="UXE38" s="85"/>
      <c r="UXF38" s="85"/>
      <c r="UXG38" s="85"/>
      <c r="UXH38" s="85"/>
      <c r="UXI38" s="85"/>
      <c r="UXJ38" s="85"/>
      <c r="UXK38" s="85"/>
      <c r="UXL38" s="85"/>
      <c r="UXM38" s="85"/>
      <c r="UXN38" s="85"/>
      <c r="UXO38" s="85"/>
      <c r="UXP38" s="85"/>
      <c r="UXQ38" s="85"/>
      <c r="UXR38" s="85"/>
      <c r="UXS38" s="85"/>
      <c r="UXT38" s="85"/>
      <c r="UXU38" s="85"/>
      <c r="UXV38" s="85"/>
      <c r="UXW38" s="85"/>
      <c r="UXX38" s="85"/>
      <c r="UXY38" s="85"/>
      <c r="UXZ38" s="85"/>
      <c r="UYA38" s="85"/>
      <c r="UYB38" s="85"/>
      <c r="UYC38" s="85"/>
      <c r="UYD38" s="85"/>
      <c r="UYE38" s="85"/>
      <c r="UYF38" s="85"/>
      <c r="UYG38" s="85"/>
      <c r="UYH38" s="85"/>
      <c r="UYI38" s="85"/>
      <c r="UYJ38" s="85"/>
      <c r="UYK38" s="85"/>
      <c r="UYL38" s="85"/>
      <c r="UYM38" s="85"/>
      <c r="UYN38" s="85"/>
      <c r="UYO38" s="85"/>
      <c r="UYP38" s="85"/>
      <c r="UYQ38" s="85"/>
      <c r="UYR38" s="85"/>
      <c r="UYS38" s="85"/>
      <c r="UYT38" s="85"/>
      <c r="UYU38" s="85"/>
      <c r="UYV38" s="85"/>
      <c r="UYW38" s="85"/>
      <c r="UYX38" s="85"/>
      <c r="UYY38" s="85"/>
      <c r="UYZ38" s="85"/>
      <c r="UZA38" s="85"/>
      <c r="UZB38" s="85"/>
      <c r="UZC38" s="85"/>
      <c r="UZD38" s="85"/>
      <c r="UZE38" s="85"/>
      <c r="UZF38" s="85"/>
      <c r="UZG38" s="85"/>
      <c r="UZH38" s="85"/>
      <c r="UZI38" s="85"/>
      <c r="UZJ38" s="85"/>
      <c r="UZK38" s="85"/>
      <c r="UZL38" s="85"/>
      <c r="UZM38" s="85"/>
      <c r="UZN38" s="85"/>
      <c r="UZO38" s="85"/>
      <c r="UZP38" s="85"/>
      <c r="UZQ38" s="85"/>
      <c r="UZR38" s="85"/>
      <c r="UZS38" s="85"/>
      <c r="UZT38" s="85"/>
      <c r="UZU38" s="85"/>
      <c r="UZV38" s="85"/>
      <c r="UZW38" s="85"/>
      <c r="UZX38" s="85"/>
      <c r="UZY38" s="85"/>
      <c r="UZZ38" s="85"/>
      <c r="VAA38" s="85"/>
      <c r="VAB38" s="85"/>
      <c r="VAC38" s="85"/>
      <c r="VAD38" s="85"/>
      <c r="VAE38" s="85"/>
      <c r="VAF38" s="85"/>
      <c r="VAG38" s="85"/>
      <c r="VAH38" s="85"/>
      <c r="VAI38" s="85"/>
      <c r="VAJ38" s="85"/>
      <c r="VAK38" s="85"/>
      <c r="VAL38" s="85"/>
      <c r="VAM38" s="85"/>
      <c r="VAN38" s="85"/>
      <c r="VAO38" s="85"/>
      <c r="VAP38" s="85"/>
      <c r="VAQ38" s="85"/>
      <c r="VAR38" s="85"/>
      <c r="VAS38" s="85"/>
      <c r="VAT38" s="85"/>
      <c r="VAU38" s="85"/>
      <c r="VAV38" s="85"/>
      <c r="VAW38" s="85"/>
      <c r="VAX38" s="85"/>
      <c r="VAY38" s="85"/>
      <c r="VAZ38" s="85"/>
      <c r="VBA38" s="85"/>
      <c r="VBB38" s="85"/>
      <c r="VBC38" s="85"/>
      <c r="VBD38" s="85"/>
      <c r="VBE38" s="85"/>
      <c r="VBF38" s="85"/>
      <c r="VBG38" s="85"/>
      <c r="VBH38" s="85"/>
      <c r="VBI38" s="85"/>
      <c r="VBJ38" s="85"/>
      <c r="VBK38" s="85"/>
      <c r="VBL38" s="85"/>
      <c r="VBM38" s="85"/>
      <c r="VBN38" s="85"/>
      <c r="VBO38" s="85"/>
      <c r="VBP38" s="85"/>
      <c r="VBQ38" s="85"/>
      <c r="VBR38" s="85"/>
      <c r="VBS38" s="85"/>
      <c r="VBT38" s="85"/>
      <c r="VBU38" s="85"/>
      <c r="VBV38" s="85"/>
      <c r="VBW38" s="85"/>
      <c r="VBX38" s="85"/>
      <c r="VBY38" s="85"/>
      <c r="VBZ38" s="85"/>
      <c r="VCA38" s="85"/>
      <c r="VCB38" s="85"/>
      <c r="VCC38" s="85"/>
      <c r="VCD38" s="85"/>
      <c r="VCE38" s="85"/>
      <c r="VCF38" s="85"/>
      <c r="VCG38" s="85"/>
      <c r="VCH38" s="85"/>
      <c r="VCI38" s="85"/>
      <c r="VCJ38" s="85"/>
      <c r="VCK38" s="85"/>
      <c r="VCL38" s="85"/>
      <c r="VCM38" s="85"/>
      <c r="VCN38" s="85"/>
      <c r="VCO38" s="85"/>
      <c r="VCP38" s="85"/>
      <c r="VCQ38" s="85"/>
      <c r="VCR38" s="85"/>
      <c r="VCS38" s="85"/>
      <c r="VCT38" s="85"/>
      <c r="VCU38" s="85"/>
      <c r="VCV38" s="85"/>
      <c r="VCW38" s="85"/>
      <c r="VCX38" s="85"/>
      <c r="VCY38" s="85"/>
      <c r="VCZ38" s="85"/>
      <c r="VDA38" s="85"/>
      <c r="VDB38" s="85"/>
      <c r="VDC38" s="85"/>
      <c r="VDD38" s="85"/>
      <c r="VDE38" s="85"/>
      <c r="VDF38" s="85"/>
      <c r="VDG38" s="85"/>
      <c r="VDH38" s="85"/>
      <c r="VDI38" s="85"/>
      <c r="VDJ38" s="85"/>
      <c r="VDK38" s="85"/>
      <c r="VDL38" s="85"/>
      <c r="VDM38" s="85"/>
      <c r="VDN38" s="85"/>
      <c r="VDO38" s="85"/>
      <c r="VDP38" s="85"/>
      <c r="VDQ38" s="85"/>
      <c r="VDR38" s="85"/>
      <c r="VDS38" s="85"/>
      <c r="VDT38" s="85"/>
      <c r="VDU38" s="85"/>
      <c r="VDV38" s="85"/>
      <c r="VDW38" s="85"/>
      <c r="VDX38" s="85"/>
      <c r="VDY38" s="85"/>
      <c r="VDZ38" s="85"/>
      <c r="VEA38" s="85"/>
      <c r="VEB38" s="85"/>
      <c r="VEC38" s="85"/>
      <c r="VED38" s="85"/>
      <c r="VEE38" s="85"/>
      <c r="VEF38" s="85"/>
      <c r="VEG38" s="85"/>
      <c r="VEH38" s="85"/>
      <c r="VEI38" s="85"/>
      <c r="VEJ38" s="85"/>
      <c r="VEK38" s="85"/>
      <c r="VEL38" s="85"/>
      <c r="VEM38" s="85"/>
      <c r="VEN38" s="85"/>
      <c r="VEO38" s="85"/>
      <c r="VEP38" s="85"/>
      <c r="VEQ38" s="85"/>
      <c r="VER38" s="85"/>
      <c r="VES38" s="85"/>
      <c r="VET38" s="85"/>
      <c r="VEU38" s="85"/>
      <c r="VEV38" s="85"/>
      <c r="VEW38" s="85"/>
      <c r="VEX38" s="85"/>
      <c r="VEY38" s="85"/>
      <c r="VEZ38" s="85"/>
      <c r="VFA38" s="85"/>
      <c r="VFB38" s="85"/>
      <c r="VFC38" s="85"/>
      <c r="VFD38" s="85"/>
      <c r="VFE38" s="85"/>
      <c r="VFF38" s="85"/>
      <c r="VFG38" s="85"/>
      <c r="VFH38" s="85"/>
      <c r="VFI38" s="85"/>
      <c r="VFJ38" s="85"/>
      <c r="VFK38" s="85"/>
      <c r="VFL38" s="85"/>
      <c r="VFM38" s="85"/>
      <c r="VFN38" s="85"/>
      <c r="VFO38" s="85"/>
      <c r="VFP38" s="85"/>
      <c r="VFQ38" s="85"/>
      <c r="VFR38" s="85"/>
      <c r="VFS38" s="85"/>
      <c r="VFT38" s="85"/>
      <c r="VFU38" s="85"/>
      <c r="VFV38" s="85"/>
      <c r="VFW38" s="85"/>
      <c r="VFX38" s="85"/>
      <c r="VFY38" s="85"/>
      <c r="VFZ38" s="85"/>
      <c r="VGA38" s="85"/>
      <c r="VGB38" s="85"/>
      <c r="VGC38" s="85"/>
      <c r="VGD38" s="85"/>
      <c r="VGE38" s="85"/>
      <c r="VGF38" s="85"/>
      <c r="VGG38" s="85"/>
      <c r="VGH38" s="85"/>
      <c r="VGI38" s="85"/>
      <c r="VGJ38" s="85"/>
      <c r="VGK38" s="85"/>
      <c r="VGL38" s="85"/>
      <c r="VGM38" s="85"/>
      <c r="VGN38" s="85"/>
      <c r="VGO38" s="85"/>
      <c r="VGP38" s="85"/>
      <c r="VGQ38" s="85"/>
      <c r="VGR38" s="85"/>
      <c r="VGS38" s="85"/>
      <c r="VGT38" s="85"/>
      <c r="VGU38" s="85"/>
      <c r="VGV38" s="85"/>
      <c r="VGW38" s="85"/>
      <c r="VGX38" s="85"/>
      <c r="VGY38" s="85"/>
      <c r="VGZ38" s="85"/>
      <c r="VHA38" s="85"/>
      <c r="VHB38" s="85"/>
      <c r="VHC38" s="85"/>
      <c r="VHD38" s="85"/>
      <c r="VHE38" s="85"/>
      <c r="VHF38" s="85"/>
      <c r="VHG38" s="85"/>
      <c r="VHH38" s="85"/>
      <c r="VHI38" s="85"/>
      <c r="VHJ38" s="85"/>
      <c r="VHK38" s="85"/>
      <c r="VHL38" s="85"/>
      <c r="VHM38" s="85"/>
      <c r="VHN38" s="85"/>
      <c r="VHO38" s="85"/>
      <c r="VHP38" s="85"/>
      <c r="VHQ38" s="85"/>
      <c r="VHR38" s="85"/>
      <c r="VHS38" s="85"/>
      <c r="VHT38" s="85"/>
      <c r="VHU38" s="85"/>
      <c r="VHV38" s="85"/>
      <c r="VHW38" s="85"/>
      <c r="VHX38" s="85"/>
      <c r="VHY38" s="85"/>
      <c r="VHZ38" s="85"/>
      <c r="VIA38" s="85"/>
      <c r="VIB38" s="85"/>
      <c r="VIC38" s="85"/>
      <c r="VID38" s="85"/>
      <c r="VIE38" s="85"/>
      <c r="VIF38" s="85"/>
      <c r="VIG38" s="85"/>
      <c r="VIH38" s="85"/>
      <c r="VII38" s="85"/>
      <c r="VIJ38" s="85"/>
      <c r="VIK38" s="85"/>
      <c r="VIL38" s="85"/>
      <c r="VIM38" s="85"/>
      <c r="VIN38" s="85"/>
      <c r="VIO38" s="85"/>
      <c r="VIP38" s="85"/>
      <c r="VIQ38" s="85"/>
      <c r="VIR38" s="85"/>
      <c r="VIS38" s="85"/>
      <c r="VIT38" s="85"/>
      <c r="VIU38" s="85"/>
      <c r="VIV38" s="85"/>
      <c r="VIW38" s="85"/>
      <c r="VIX38" s="85"/>
      <c r="VIY38" s="85"/>
      <c r="VIZ38" s="85"/>
      <c r="VJA38" s="85"/>
      <c r="VJB38" s="85"/>
      <c r="VJC38" s="85"/>
      <c r="VJD38" s="85"/>
      <c r="VJE38" s="85"/>
      <c r="VJF38" s="85"/>
      <c r="VJG38" s="85"/>
      <c r="VJH38" s="85"/>
      <c r="VJI38" s="85"/>
      <c r="VJJ38" s="85"/>
      <c r="VJK38" s="85"/>
      <c r="VJL38" s="85"/>
      <c r="VJM38" s="85"/>
      <c r="VJN38" s="85"/>
      <c r="VJO38" s="85"/>
      <c r="VJP38" s="85"/>
      <c r="VJQ38" s="85"/>
      <c r="VJR38" s="85"/>
      <c r="VJS38" s="85"/>
      <c r="VJT38" s="85"/>
      <c r="VJU38" s="85"/>
      <c r="VJV38" s="85"/>
      <c r="VJW38" s="85"/>
      <c r="VJX38" s="85"/>
      <c r="VJY38" s="85"/>
      <c r="VJZ38" s="85"/>
      <c r="VKA38" s="85"/>
      <c r="VKB38" s="85"/>
      <c r="VKC38" s="85"/>
      <c r="VKD38" s="85"/>
      <c r="VKE38" s="85"/>
      <c r="VKF38" s="85"/>
      <c r="VKG38" s="85"/>
      <c r="VKH38" s="85"/>
      <c r="VKI38" s="85"/>
      <c r="VKJ38" s="85"/>
      <c r="VKK38" s="85"/>
      <c r="VKL38" s="85"/>
      <c r="VKM38" s="85"/>
      <c r="VKN38" s="85"/>
      <c r="VKO38" s="85"/>
      <c r="VKP38" s="85"/>
      <c r="VKQ38" s="85"/>
      <c r="VKR38" s="85"/>
      <c r="VKS38" s="85"/>
      <c r="VKT38" s="85"/>
      <c r="VKU38" s="85"/>
      <c r="VKV38" s="85"/>
      <c r="VKW38" s="85"/>
      <c r="VKX38" s="85"/>
      <c r="VKY38" s="85"/>
      <c r="VKZ38" s="85"/>
      <c r="VLA38" s="85"/>
      <c r="VLB38" s="85"/>
      <c r="VLC38" s="85"/>
      <c r="VLD38" s="85"/>
      <c r="VLE38" s="85"/>
      <c r="VLF38" s="85"/>
      <c r="VLG38" s="85"/>
      <c r="VLH38" s="85"/>
      <c r="VLI38" s="85"/>
      <c r="VLJ38" s="85"/>
      <c r="VLK38" s="85"/>
      <c r="VLL38" s="85"/>
      <c r="VLM38" s="85"/>
      <c r="VLN38" s="85"/>
      <c r="VLO38" s="85"/>
      <c r="VLP38" s="85"/>
      <c r="VLQ38" s="85"/>
      <c r="VLR38" s="85"/>
      <c r="VLS38" s="85"/>
      <c r="VLT38" s="85"/>
      <c r="VLU38" s="85"/>
      <c r="VLV38" s="85"/>
      <c r="VLW38" s="85"/>
      <c r="VLX38" s="85"/>
      <c r="VLY38" s="85"/>
      <c r="VLZ38" s="85"/>
      <c r="VMA38" s="85"/>
      <c r="VMB38" s="85"/>
      <c r="VMC38" s="85"/>
      <c r="VMD38" s="85"/>
      <c r="VME38" s="85"/>
      <c r="VMF38" s="85"/>
      <c r="VMG38" s="85"/>
      <c r="VMH38" s="85"/>
      <c r="VMI38" s="85"/>
      <c r="VMJ38" s="85"/>
      <c r="VMK38" s="85"/>
      <c r="VML38" s="85"/>
      <c r="VMM38" s="85"/>
      <c r="VMN38" s="85"/>
      <c r="VMO38" s="85"/>
      <c r="VMP38" s="85"/>
      <c r="VMQ38" s="85"/>
      <c r="VMR38" s="85"/>
      <c r="VMS38" s="85"/>
      <c r="VMT38" s="85"/>
      <c r="VMU38" s="85"/>
      <c r="VMV38" s="85"/>
      <c r="VMW38" s="85"/>
      <c r="VMX38" s="85"/>
      <c r="VMY38" s="85"/>
      <c r="VMZ38" s="85"/>
      <c r="VNA38" s="85"/>
      <c r="VNB38" s="85"/>
      <c r="VNC38" s="85"/>
      <c r="VND38" s="85"/>
      <c r="VNE38" s="85"/>
      <c r="VNF38" s="85"/>
      <c r="VNG38" s="85"/>
      <c r="VNH38" s="85"/>
      <c r="VNI38" s="85"/>
      <c r="VNJ38" s="85"/>
      <c r="VNK38" s="85"/>
      <c r="VNL38" s="85"/>
      <c r="VNM38" s="85"/>
      <c r="VNN38" s="85"/>
      <c r="VNO38" s="85"/>
      <c r="VNP38" s="85"/>
      <c r="VNQ38" s="85"/>
      <c r="VNR38" s="85"/>
      <c r="VNS38" s="85"/>
      <c r="VNT38" s="85"/>
      <c r="VNU38" s="85"/>
      <c r="VNV38" s="85"/>
      <c r="VNW38" s="85"/>
      <c r="VNX38" s="85"/>
      <c r="VNY38" s="85"/>
      <c r="VNZ38" s="85"/>
      <c r="VOA38" s="85"/>
      <c r="VOB38" s="85"/>
      <c r="VOC38" s="85"/>
      <c r="VOD38" s="85"/>
      <c r="VOE38" s="85"/>
      <c r="VOF38" s="85"/>
      <c r="VOG38" s="85"/>
      <c r="VOH38" s="85"/>
      <c r="VOI38" s="85"/>
      <c r="VOJ38" s="85"/>
      <c r="VOK38" s="85"/>
      <c r="VOL38" s="85"/>
      <c r="VOM38" s="85"/>
      <c r="VON38" s="85"/>
      <c r="VOO38" s="85"/>
      <c r="VOP38" s="85"/>
      <c r="VOQ38" s="85"/>
      <c r="VOR38" s="85"/>
      <c r="VOS38" s="85"/>
      <c r="VOT38" s="85"/>
      <c r="VOU38" s="85"/>
      <c r="VOV38" s="85"/>
      <c r="VOW38" s="85"/>
      <c r="VOX38" s="85"/>
      <c r="VOY38" s="85"/>
      <c r="VOZ38" s="85"/>
      <c r="VPA38" s="85"/>
      <c r="VPB38" s="85"/>
      <c r="VPC38" s="85"/>
      <c r="VPD38" s="85"/>
      <c r="VPE38" s="85"/>
      <c r="VPF38" s="85"/>
      <c r="VPG38" s="85"/>
      <c r="VPH38" s="85"/>
      <c r="VPI38" s="85"/>
      <c r="VPJ38" s="85"/>
      <c r="VPK38" s="85"/>
      <c r="VPL38" s="85"/>
      <c r="VPM38" s="85"/>
      <c r="VPN38" s="85"/>
      <c r="VPO38" s="85"/>
      <c r="VPP38" s="85"/>
      <c r="VPQ38" s="85"/>
      <c r="VPR38" s="85"/>
      <c r="VPS38" s="85"/>
      <c r="VPT38" s="85"/>
      <c r="VPU38" s="85"/>
      <c r="VPV38" s="85"/>
      <c r="VPW38" s="85"/>
      <c r="VPX38" s="85"/>
      <c r="VPY38" s="85"/>
      <c r="VPZ38" s="85"/>
      <c r="VQA38" s="85"/>
      <c r="VQB38" s="85"/>
      <c r="VQC38" s="85"/>
      <c r="VQD38" s="85"/>
      <c r="VQE38" s="85"/>
      <c r="VQF38" s="85"/>
      <c r="VQG38" s="85"/>
      <c r="VQH38" s="85"/>
      <c r="VQI38" s="85"/>
      <c r="VQJ38" s="85"/>
      <c r="VQK38" s="85"/>
      <c r="VQL38" s="85"/>
      <c r="VQM38" s="85"/>
      <c r="VQN38" s="85"/>
      <c r="VQO38" s="85"/>
      <c r="VQP38" s="85"/>
      <c r="VQQ38" s="85"/>
      <c r="VQR38" s="85"/>
      <c r="VQS38" s="85"/>
      <c r="VQT38" s="85"/>
      <c r="VQU38" s="85"/>
      <c r="VQV38" s="85"/>
      <c r="VQW38" s="85"/>
      <c r="VQX38" s="85"/>
      <c r="VQY38" s="85"/>
      <c r="VQZ38" s="85"/>
      <c r="VRA38" s="85"/>
      <c r="VRB38" s="85"/>
      <c r="VRC38" s="85"/>
      <c r="VRD38" s="85"/>
      <c r="VRE38" s="85"/>
      <c r="VRF38" s="85"/>
      <c r="VRG38" s="85"/>
      <c r="VRH38" s="85"/>
      <c r="VRI38" s="85"/>
      <c r="VRJ38" s="85"/>
      <c r="VRK38" s="85"/>
      <c r="VRL38" s="85"/>
      <c r="VRM38" s="85"/>
      <c r="VRN38" s="85"/>
      <c r="VRO38" s="85"/>
      <c r="VRP38" s="85"/>
      <c r="VRQ38" s="85"/>
      <c r="VRR38" s="85"/>
      <c r="VRS38" s="85"/>
      <c r="VRT38" s="85"/>
      <c r="VRU38" s="85"/>
      <c r="VRV38" s="85"/>
      <c r="VRW38" s="85"/>
      <c r="VRX38" s="85"/>
      <c r="VRY38" s="85"/>
      <c r="VRZ38" s="85"/>
      <c r="VSA38" s="85"/>
      <c r="VSB38" s="85"/>
      <c r="VSC38" s="85"/>
      <c r="VSD38" s="85"/>
      <c r="VSE38" s="85"/>
      <c r="VSF38" s="85"/>
      <c r="VSG38" s="85"/>
      <c r="VSH38" s="85"/>
      <c r="VSI38" s="85"/>
      <c r="VSJ38" s="85"/>
      <c r="VSK38" s="85"/>
      <c r="VSL38" s="85"/>
      <c r="VSM38" s="85"/>
      <c r="VSN38" s="85"/>
      <c r="VSO38" s="85"/>
      <c r="VSP38" s="85"/>
      <c r="VSQ38" s="85"/>
      <c r="VSR38" s="85"/>
      <c r="VSS38" s="85"/>
      <c r="VST38" s="85"/>
      <c r="VSU38" s="85"/>
      <c r="VSV38" s="85"/>
      <c r="VSW38" s="85"/>
      <c r="VSX38" s="85"/>
      <c r="VSY38" s="85"/>
      <c r="VSZ38" s="85"/>
      <c r="VTA38" s="85"/>
      <c r="VTB38" s="85"/>
      <c r="VTC38" s="85"/>
      <c r="VTD38" s="85"/>
      <c r="VTE38" s="85"/>
      <c r="VTF38" s="85"/>
      <c r="VTG38" s="85"/>
      <c r="VTH38" s="85"/>
      <c r="VTI38" s="85"/>
      <c r="VTJ38" s="85"/>
      <c r="VTK38" s="85"/>
      <c r="VTL38" s="85"/>
      <c r="VTM38" s="85"/>
      <c r="VTN38" s="85"/>
      <c r="VTO38" s="85"/>
      <c r="VTP38" s="85"/>
      <c r="VTQ38" s="85"/>
      <c r="VTR38" s="85"/>
      <c r="VTS38" s="85"/>
      <c r="VTT38" s="85"/>
      <c r="VTU38" s="85"/>
      <c r="VTV38" s="85"/>
      <c r="VTW38" s="85"/>
      <c r="VTX38" s="85"/>
      <c r="VTY38" s="85"/>
      <c r="VTZ38" s="85"/>
      <c r="VUA38" s="85"/>
      <c r="VUB38" s="85"/>
      <c r="VUC38" s="85"/>
      <c r="VUD38" s="85"/>
      <c r="VUE38" s="85"/>
      <c r="VUF38" s="85"/>
      <c r="VUG38" s="85"/>
      <c r="VUH38" s="85"/>
      <c r="VUI38" s="85"/>
      <c r="VUJ38" s="85"/>
      <c r="VUK38" s="85"/>
      <c r="VUL38" s="85"/>
      <c r="VUM38" s="85"/>
      <c r="VUN38" s="85"/>
      <c r="VUO38" s="85"/>
      <c r="VUP38" s="85"/>
      <c r="VUQ38" s="85"/>
      <c r="VUR38" s="85"/>
      <c r="VUS38" s="85"/>
      <c r="VUT38" s="85"/>
      <c r="VUU38" s="85"/>
      <c r="VUV38" s="85"/>
      <c r="VUW38" s="85"/>
      <c r="VUX38" s="85"/>
      <c r="VUY38" s="85"/>
      <c r="VUZ38" s="85"/>
      <c r="VVA38" s="85"/>
      <c r="VVB38" s="85"/>
      <c r="VVC38" s="85"/>
      <c r="VVD38" s="85"/>
      <c r="VVE38" s="85"/>
      <c r="VVF38" s="85"/>
      <c r="VVG38" s="85"/>
      <c r="VVH38" s="85"/>
      <c r="VVI38" s="85"/>
      <c r="VVJ38" s="85"/>
      <c r="VVK38" s="85"/>
      <c r="VVL38" s="85"/>
      <c r="VVM38" s="85"/>
      <c r="VVN38" s="85"/>
      <c r="VVO38" s="85"/>
      <c r="VVP38" s="85"/>
      <c r="VVQ38" s="85"/>
      <c r="VVR38" s="85"/>
      <c r="VVS38" s="85"/>
      <c r="VVT38" s="85"/>
      <c r="VVU38" s="85"/>
      <c r="VVV38" s="85"/>
      <c r="VVW38" s="85"/>
      <c r="VVX38" s="85"/>
      <c r="VVY38" s="85"/>
      <c r="VVZ38" s="85"/>
      <c r="VWA38" s="85"/>
      <c r="VWB38" s="85"/>
      <c r="VWC38" s="85"/>
      <c r="VWD38" s="85"/>
      <c r="VWE38" s="85"/>
      <c r="VWF38" s="85"/>
      <c r="VWG38" s="85"/>
      <c r="VWH38" s="85"/>
      <c r="VWI38" s="85"/>
      <c r="VWJ38" s="85"/>
      <c r="VWK38" s="85"/>
      <c r="VWL38" s="85"/>
      <c r="VWM38" s="85"/>
      <c r="VWN38" s="85"/>
      <c r="VWO38" s="85"/>
      <c r="VWP38" s="85"/>
      <c r="VWQ38" s="85"/>
      <c r="VWR38" s="85"/>
      <c r="VWS38" s="85"/>
      <c r="VWT38" s="85"/>
      <c r="VWU38" s="85"/>
      <c r="VWV38" s="85"/>
      <c r="VWW38" s="85"/>
      <c r="VWX38" s="85"/>
      <c r="VWY38" s="85"/>
      <c r="VWZ38" s="85"/>
      <c r="VXA38" s="85"/>
      <c r="VXB38" s="85"/>
      <c r="VXC38" s="85"/>
      <c r="VXD38" s="85"/>
      <c r="VXE38" s="85"/>
      <c r="VXF38" s="85"/>
      <c r="VXG38" s="85"/>
      <c r="VXH38" s="85"/>
      <c r="VXI38" s="85"/>
      <c r="VXJ38" s="85"/>
      <c r="VXK38" s="85"/>
      <c r="VXL38" s="85"/>
      <c r="VXM38" s="85"/>
      <c r="VXN38" s="85"/>
      <c r="VXO38" s="85"/>
      <c r="VXP38" s="85"/>
      <c r="VXQ38" s="85"/>
      <c r="VXR38" s="85"/>
      <c r="VXS38" s="85"/>
      <c r="VXT38" s="85"/>
      <c r="VXU38" s="85"/>
      <c r="VXV38" s="85"/>
      <c r="VXW38" s="85"/>
      <c r="VXX38" s="85"/>
      <c r="VXY38" s="85"/>
      <c r="VXZ38" s="85"/>
      <c r="VYA38" s="85"/>
      <c r="VYB38" s="85"/>
      <c r="VYC38" s="85"/>
      <c r="VYD38" s="85"/>
      <c r="VYE38" s="85"/>
      <c r="VYF38" s="85"/>
      <c r="VYG38" s="85"/>
      <c r="VYH38" s="85"/>
      <c r="VYI38" s="85"/>
      <c r="VYJ38" s="85"/>
      <c r="VYK38" s="85"/>
      <c r="VYL38" s="85"/>
      <c r="VYM38" s="85"/>
      <c r="VYN38" s="85"/>
      <c r="VYO38" s="85"/>
      <c r="VYP38" s="85"/>
      <c r="VYQ38" s="85"/>
      <c r="VYR38" s="85"/>
      <c r="VYS38" s="85"/>
      <c r="VYT38" s="85"/>
      <c r="VYU38" s="85"/>
      <c r="VYV38" s="85"/>
      <c r="VYW38" s="85"/>
      <c r="VYX38" s="85"/>
      <c r="VYY38" s="85"/>
      <c r="VYZ38" s="85"/>
      <c r="VZA38" s="85"/>
      <c r="VZB38" s="85"/>
      <c r="VZC38" s="85"/>
      <c r="VZD38" s="85"/>
      <c r="VZE38" s="85"/>
      <c r="VZF38" s="85"/>
      <c r="VZG38" s="85"/>
      <c r="VZH38" s="85"/>
      <c r="VZI38" s="85"/>
      <c r="VZJ38" s="85"/>
      <c r="VZK38" s="85"/>
      <c r="VZL38" s="85"/>
      <c r="VZM38" s="85"/>
      <c r="VZN38" s="85"/>
      <c r="VZO38" s="85"/>
      <c r="VZP38" s="85"/>
      <c r="VZQ38" s="85"/>
      <c r="VZR38" s="85"/>
      <c r="VZS38" s="85"/>
      <c r="VZT38" s="85"/>
      <c r="VZU38" s="85"/>
      <c r="VZV38" s="85"/>
      <c r="VZW38" s="85"/>
      <c r="VZX38" s="85"/>
      <c r="VZY38" s="85"/>
      <c r="VZZ38" s="85"/>
      <c r="WAA38" s="85"/>
      <c r="WAB38" s="85"/>
      <c r="WAC38" s="85"/>
      <c r="WAD38" s="85"/>
      <c r="WAE38" s="85"/>
      <c r="WAF38" s="85"/>
      <c r="WAG38" s="85"/>
      <c r="WAH38" s="85"/>
      <c r="WAI38" s="85"/>
      <c r="WAJ38" s="85"/>
      <c r="WAK38" s="85"/>
      <c r="WAL38" s="85"/>
      <c r="WAM38" s="85"/>
      <c r="WAN38" s="85"/>
      <c r="WAO38" s="85"/>
      <c r="WAP38" s="85"/>
      <c r="WAQ38" s="85"/>
      <c r="WAR38" s="85"/>
      <c r="WAS38" s="85"/>
      <c r="WAT38" s="85"/>
      <c r="WAU38" s="85"/>
      <c r="WAV38" s="85"/>
      <c r="WAW38" s="85"/>
      <c r="WAX38" s="85"/>
      <c r="WAY38" s="85"/>
      <c r="WAZ38" s="85"/>
      <c r="WBA38" s="85"/>
      <c r="WBB38" s="85"/>
      <c r="WBC38" s="85"/>
      <c r="WBD38" s="85"/>
      <c r="WBE38" s="85"/>
      <c r="WBF38" s="85"/>
      <c r="WBG38" s="85"/>
      <c r="WBH38" s="85"/>
      <c r="WBI38" s="85"/>
      <c r="WBJ38" s="85"/>
      <c r="WBK38" s="85"/>
      <c r="WBL38" s="85"/>
      <c r="WBM38" s="85"/>
      <c r="WBN38" s="85"/>
      <c r="WBO38" s="85"/>
      <c r="WBP38" s="85"/>
      <c r="WBQ38" s="85"/>
      <c r="WBR38" s="85"/>
      <c r="WBS38" s="85"/>
      <c r="WBT38" s="85"/>
      <c r="WBU38" s="85"/>
      <c r="WBV38" s="85"/>
      <c r="WBW38" s="85"/>
      <c r="WBX38" s="85"/>
      <c r="WBY38" s="85"/>
      <c r="WBZ38" s="85"/>
      <c r="WCA38" s="85"/>
      <c r="WCB38" s="85"/>
      <c r="WCC38" s="85"/>
      <c r="WCD38" s="85"/>
      <c r="WCE38" s="85"/>
      <c r="WCF38" s="85"/>
      <c r="WCG38" s="85"/>
      <c r="WCH38" s="85"/>
      <c r="WCI38" s="85"/>
      <c r="WCJ38" s="85"/>
      <c r="WCK38" s="85"/>
      <c r="WCL38" s="85"/>
      <c r="WCM38" s="85"/>
      <c r="WCN38" s="85"/>
      <c r="WCO38" s="85"/>
      <c r="WCP38" s="85"/>
      <c r="WCQ38" s="85"/>
      <c r="WCR38" s="85"/>
      <c r="WCS38" s="85"/>
      <c r="WCT38" s="85"/>
      <c r="WCU38" s="85"/>
      <c r="WCV38" s="85"/>
      <c r="WCW38" s="85"/>
      <c r="WCX38" s="85"/>
      <c r="WCY38" s="85"/>
      <c r="WCZ38" s="85"/>
      <c r="WDA38" s="85"/>
      <c r="WDB38" s="85"/>
      <c r="WDC38" s="85"/>
      <c r="WDD38" s="85"/>
      <c r="WDE38" s="85"/>
      <c r="WDF38" s="85"/>
      <c r="WDG38" s="85"/>
      <c r="WDH38" s="85"/>
      <c r="WDI38" s="85"/>
      <c r="WDJ38" s="85"/>
      <c r="WDK38" s="85"/>
      <c r="WDL38" s="85"/>
      <c r="WDM38" s="85"/>
      <c r="WDN38" s="85"/>
      <c r="WDO38" s="85"/>
      <c r="WDP38" s="85"/>
      <c r="WDQ38" s="85"/>
      <c r="WDR38" s="85"/>
      <c r="WDS38" s="85"/>
      <c r="WDT38" s="85"/>
      <c r="WDU38" s="85"/>
      <c r="WDV38" s="85"/>
      <c r="WDW38" s="85"/>
      <c r="WDX38" s="85"/>
      <c r="WDY38" s="85"/>
      <c r="WDZ38" s="85"/>
      <c r="WEA38" s="85"/>
      <c r="WEB38" s="85"/>
      <c r="WEC38" s="85"/>
      <c r="WED38" s="85"/>
      <c r="WEE38" s="85"/>
      <c r="WEF38" s="85"/>
      <c r="WEG38" s="85"/>
      <c r="WEH38" s="85"/>
      <c r="WEI38" s="85"/>
      <c r="WEJ38" s="85"/>
      <c r="WEK38" s="85"/>
      <c r="WEL38" s="85"/>
      <c r="WEM38" s="85"/>
      <c r="WEN38" s="85"/>
      <c r="WEO38" s="85"/>
      <c r="WEP38" s="85"/>
      <c r="WEQ38" s="85"/>
      <c r="WER38" s="85"/>
      <c r="WES38" s="85"/>
      <c r="WET38" s="85"/>
      <c r="WEU38" s="85"/>
      <c r="WEV38" s="85"/>
      <c r="WEW38" s="85"/>
      <c r="WEX38" s="85"/>
      <c r="WEY38" s="85"/>
      <c r="WEZ38" s="85"/>
      <c r="WFA38" s="85"/>
      <c r="WFB38" s="85"/>
      <c r="WFC38" s="85"/>
      <c r="WFD38" s="85"/>
      <c r="WFE38" s="85"/>
      <c r="WFF38" s="85"/>
      <c r="WFG38" s="85"/>
      <c r="WFH38" s="85"/>
      <c r="WFI38" s="85"/>
      <c r="WFJ38" s="85"/>
      <c r="WFK38" s="85"/>
      <c r="WFL38" s="85"/>
      <c r="WFM38" s="85"/>
      <c r="WFN38" s="85"/>
      <c r="WFO38" s="85"/>
      <c r="WFP38" s="85"/>
      <c r="WFQ38" s="85"/>
      <c r="WFR38" s="85"/>
      <c r="WFS38" s="85"/>
      <c r="WFT38" s="85"/>
      <c r="WFU38" s="85"/>
      <c r="WFV38" s="85"/>
      <c r="WFW38" s="85"/>
      <c r="WFX38" s="85"/>
      <c r="WFY38" s="85"/>
      <c r="WFZ38" s="85"/>
      <c r="WGA38" s="85"/>
      <c r="WGB38" s="85"/>
      <c r="WGC38" s="85"/>
      <c r="WGD38" s="85"/>
      <c r="WGE38" s="85"/>
      <c r="WGF38" s="85"/>
      <c r="WGG38" s="85"/>
      <c r="WGH38" s="85"/>
      <c r="WGI38" s="85"/>
      <c r="WGJ38" s="85"/>
      <c r="WGK38" s="85"/>
      <c r="WGL38" s="85"/>
      <c r="WGM38" s="85"/>
      <c r="WGN38" s="85"/>
      <c r="WGO38" s="85"/>
      <c r="WGP38" s="85"/>
      <c r="WGQ38" s="85"/>
      <c r="WGR38" s="85"/>
      <c r="WGS38" s="85"/>
      <c r="WGT38" s="85"/>
      <c r="WGU38" s="85"/>
      <c r="WGV38" s="85"/>
      <c r="WGW38" s="85"/>
      <c r="WGX38" s="85"/>
      <c r="WGY38" s="85"/>
      <c r="WGZ38" s="85"/>
      <c r="WHA38" s="85"/>
      <c r="WHB38" s="85"/>
      <c r="WHC38" s="85"/>
      <c r="WHD38" s="85"/>
      <c r="WHE38" s="85"/>
      <c r="WHF38" s="85"/>
      <c r="WHG38" s="85"/>
      <c r="WHH38" s="85"/>
      <c r="WHI38" s="85"/>
      <c r="WHJ38" s="85"/>
      <c r="WHK38" s="85"/>
      <c r="WHL38" s="85"/>
      <c r="WHM38" s="85"/>
      <c r="WHN38" s="85"/>
      <c r="WHO38" s="85"/>
      <c r="WHP38" s="85"/>
      <c r="WHQ38" s="85"/>
      <c r="WHR38" s="85"/>
      <c r="WHS38" s="85"/>
      <c r="WHT38" s="85"/>
      <c r="WHU38" s="85"/>
      <c r="WHV38" s="85"/>
      <c r="WHW38" s="85"/>
      <c r="WHX38" s="85"/>
      <c r="WHY38" s="85"/>
      <c r="WHZ38" s="85"/>
      <c r="WIA38" s="85"/>
      <c r="WIB38" s="85"/>
      <c r="WIC38" s="85"/>
      <c r="WID38" s="85"/>
      <c r="WIE38" s="85"/>
      <c r="WIF38" s="85"/>
      <c r="WIG38" s="85"/>
      <c r="WIH38" s="85"/>
      <c r="WII38" s="85"/>
      <c r="WIJ38" s="85"/>
      <c r="WIK38" s="85"/>
      <c r="WIL38" s="85"/>
      <c r="WIM38" s="85"/>
      <c r="WIN38" s="85"/>
      <c r="WIO38" s="85"/>
      <c r="WIP38" s="85"/>
      <c r="WIQ38" s="85"/>
      <c r="WIR38" s="85"/>
      <c r="WIS38" s="85"/>
      <c r="WIT38" s="85"/>
      <c r="WIU38" s="85"/>
      <c r="WIV38" s="85"/>
      <c r="WIW38" s="85"/>
      <c r="WIX38" s="85"/>
      <c r="WIY38" s="85"/>
      <c r="WIZ38" s="85"/>
      <c r="WJA38" s="85"/>
      <c r="WJB38" s="85"/>
      <c r="WJC38" s="85"/>
      <c r="WJD38" s="85"/>
      <c r="WJE38" s="85"/>
      <c r="WJF38" s="85"/>
      <c r="WJG38" s="85"/>
      <c r="WJH38" s="85"/>
      <c r="WJI38" s="85"/>
      <c r="WJJ38" s="85"/>
      <c r="WJK38" s="85"/>
      <c r="WJL38" s="85"/>
      <c r="WJM38" s="85"/>
      <c r="WJN38" s="85"/>
      <c r="WJO38" s="85"/>
      <c r="WJP38" s="85"/>
      <c r="WJQ38" s="85"/>
      <c r="WJR38" s="85"/>
      <c r="WJS38" s="85"/>
      <c r="WJT38" s="85"/>
      <c r="WJU38" s="85"/>
      <c r="WJV38" s="85"/>
      <c r="WJW38" s="85"/>
      <c r="WJX38" s="85"/>
      <c r="WJY38" s="85"/>
      <c r="WJZ38" s="85"/>
      <c r="WKA38" s="85"/>
      <c r="WKB38" s="85"/>
      <c r="WKC38" s="85"/>
      <c r="WKD38" s="85"/>
      <c r="WKE38" s="85"/>
      <c r="WKF38" s="85"/>
      <c r="WKG38" s="85"/>
      <c r="WKH38" s="85"/>
      <c r="WKI38" s="85"/>
      <c r="WKJ38" s="85"/>
      <c r="WKK38" s="85"/>
      <c r="WKL38" s="85"/>
      <c r="WKM38" s="85"/>
      <c r="WKN38" s="85"/>
      <c r="WKO38" s="85"/>
      <c r="WKP38" s="85"/>
      <c r="WKQ38" s="85"/>
      <c r="WKR38" s="85"/>
      <c r="WKS38" s="85"/>
      <c r="WKT38" s="85"/>
      <c r="WKU38" s="85"/>
      <c r="WKV38" s="85"/>
      <c r="WKW38" s="85"/>
      <c r="WKX38" s="85"/>
      <c r="WKY38" s="85"/>
      <c r="WKZ38" s="85"/>
      <c r="WLA38" s="85"/>
      <c r="WLB38" s="85"/>
      <c r="WLC38" s="85"/>
      <c r="WLD38" s="85"/>
      <c r="WLE38" s="85"/>
      <c r="WLF38" s="85"/>
      <c r="WLG38" s="85"/>
      <c r="WLH38" s="85"/>
      <c r="WLI38" s="85"/>
      <c r="WLJ38" s="85"/>
      <c r="WLK38" s="85"/>
      <c r="WLL38" s="85"/>
      <c r="WLM38" s="85"/>
      <c r="WLN38" s="85"/>
      <c r="WLO38" s="85"/>
      <c r="WLP38" s="85"/>
      <c r="WLQ38" s="85"/>
      <c r="WLR38" s="85"/>
      <c r="WLS38" s="85"/>
      <c r="WLT38" s="85"/>
      <c r="WLU38" s="85"/>
      <c r="WLV38" s="85"/>
      <c r="WLW38" s="85"/>
      <c r="WLX38" s="85"/>
      <c r="WLY38" s="85"/>
      <c r="WLZ38" s="85"/>
      <c r="WMA38" s="85"/>
      <c r="WMB38" s="85"/>
      <c r="WMC38" s="85"/>
      <c r="WMD38" s="85"/>
      <c r="WME38" s="85"/>
      <c r="WMF38" s="85"/>
      <c r="WMG38" s="85"/>
      <c r="WMH38" s="85"/>
      <c r="WMI38" s="85"/>
      <c r="WMJ38" s="85"/>
      <c r="WMK38" s="85"/>
      <c r="WML38" s="85"/>
      <c r="WMM38" s="85"/>
      <c r="WMN38" s="85"/>
      <c r="WMO38" s="85"/>
      <c r="WMP38" s="85"/>
      <c r="WMQ38" s="85"/>
      <c r="WMR38" s="85"/>
      <c r="WMS38" s="85"/>
      <c r="WMT38" s="85"/>
      <c r="WMU38" s="85"/>
      <c r="WMV38" s="85"/>
      <c r="WMW38" s="85"/>
      <c r="WMX38" s="85"/>
      <c r="WMY38" s="85"/>
      <c r="WMZ38" s="85"/>
      <c r="WNA38" s="85"/>
      <c r="WNB38" s="85"/>
      <c r="WNC38" s="85"/>
      <c r="WND38" s="85"/>
      <c r="WNE38" s="85"/>
      <c r="WNF38" s="85"/>
      <c r="WNG38" s="85"/>
      <c r="WNH38" s="85"/>
      <c r="WNI38" s="85"/>
      <c r="WNJ38" s="85"/>
      <c r="WNK38" s="85"/>
      <c r="WNL38" s="85"/>
      <c r="WNM38" s="85"/>
      <c r="WNN38" s="85"/>
      <c r="WNO38" s="85"/>
      <c r="WNP38" s="85"/>
      <c r="WNQ38" s="85"/>
      <c r="WNR38" s="85"/>
      <c r="WNS38" s="85"/>
      <c r="WNT38" s="85"/>
      <c r="WNU38" s="85"/>
      <c r="WNV38" s="85"/>
      <c r="WNW38" s="85"/>
      <c r="WNX38" s="85"/>
      <c r="WNY38" s="85"/>
      <c r="WNZ38" s="85"/>
      <c r="WOA38" s="85"/>
      <c r="WOB38" s="85"/>
      <c r="WOC38" s="85"/>
      <c r="WOD38" s="85"/>
      <c r="WOE38" s="85"/>
      <c r="WOF38" s="85"/>
      <c r="WOG38" s="85"/>
      <c r="WOH38" s="85"/>
      <c r="WOI38" s="85"/>
      <c r="WOJ38" s="85"/>
      <c r="WOK38" s="85"/>
      <c r="WOL38" s="85"/>
      <c r="WOM38" s="85"/>
      <c r="WON38" s="85"/>
      <c r="WOO38" s="85"/>
      <c r="WOP38" s="85"/>
      <c r="WOQ38" s="85"/>
      <c r="WOR38" s="85"/>
      <c r="WOS38" s="85"/>
      <c r="WOT38" s="85"/>
      <c r="WOU38" s="85"/>
      <c r="WOV38" s="85"/>
      <c r="WOW38" s="85"/>
      <c r="WOX38" s="85"/>
      <c r="WOY38" s="85"/>
      <c r="WOZ38" s="85"/>
      <c r="WPA38" s="85"/>
      <c r="WPB38" s="85"/>
      <c r="WPC38" s="85"/>
      <c r="WPD38" s="85"/>
      <c r="WPE38" s="85"/>
      <c r="WPF38" s="85"/>
      <c r="WPG38" s="85"/>
      <c r="WPH38" s="85"/>
      <c r="WPI38" s="85"/>
      <c r="WPJ38" s="85"/>
      <c r="WPK38" s="85"/>
      <c r="WPL38" s="85"/>
      <c r="WPM38" s="85"/>
      <c r="WPN38" s="85"/>
      <c r="WPO38" s="85"/>
      <c r="WPP38" s="85"/>
      <c r="WPQ38" s="85"/>
      <c r="WPR38" s="85"/>
      <c r="WPS38" s="85"/>
      <c r="WPT38" s="85"/>
      <c r="WPU38" s="85"/>
      <c r="WPV38" s="85"/>
      <c r="WPW38" s="85"/>
      <c r="WPX38" s="85"/>
      <c r="WPY38" s="85"/>
      <c r="WPZ38" s="85"/>
      <c r="WQA38" s="85"/>
      <c r="WQB38" s="85"/>
      <c r="WQC38" s="85"/>
      <c r="WQD38" s="85"/>
      <c r="WQE38" s="85"/>
      <c r="WQF38" s="85"/>
      <c r="WQG38" s="85"/>
      <c r="WQH38" s="85"/>
      <c r="WQI38" s="85"/>
      <c r="WQJ38" s="85"/>
      <c r="WQK38" s="85"/>
      <c r="WQL38" s="85"/>
      <c r="WQM38" s="85"/>
      <c r="WQN38" s="85"/>
      <c r="WQO38" s="85"/>
      <c r="WQP38" s="85"/>
      <c r="WQQ38" s="85"/>
      <c r="WQR38" s="85"/>
      <c r="WQS38" s="85"/>
      <c r="WQT38" s="85"/>
      <c r="WQU38" s="85"/>
      <c r="WQV38" s="85"/>
      <c r="WQW38" s="85"/>
      <c r="WQX38" s="85"/>
      <c r="WQY38" s="85"/>
      <c r="WQZ38" s="85"/>
      <c r="WRA38" s="85"/>
      <c r="WRB38" s="85"/>
      <c r="WRC38" s="85"/>
      <c r="WRD38" s="85"/>
      <c r="WRE38" s="85"/>
      <c r="WRF38" s="85"/>
      <c r="WRG38" s="85"/>
      <c r="WRH38" s="85"/>
      <c r="WRI38" s="85"/>
      <c r="WRJ38" s="85"/>
      <c r="WRK38" s="85"/>
      <c r="WRL38" s="85"/>
      <c r="WRM38" s="85"/>
      <c r="WRN38" s="85"/>
      <c r="WRO38" s="85"/>
      <c r="WRP38" s="85"/>
      <c r="WRQ38" s="85"/>
      <c r="WRR38" s="85"/>
      <c r="WRS38" s="85"/>
      <c r="WRT38" s="85"/>
      <c r="WRU38" s="85"/>
      <c r="WRV38" s="85"/>
      <c r="WRW38" s="85"/>
      <c r="WRX38" s="85"/>
      <c r="WRY38" s="85"/>
      <c r="WRZ38" s="85"/>
      <c r="WSA38" s="85"/>
      <c r="WSB38" s="85"/>
      <c r="WSC38" s="85"/>
      <c r="WSD38" s="85"/>
      <c r="WSE38" s="85"/>
      <c r="WSF38" s="85"/>
      <c r="WSG38" s="85"/>
      <c r="WSH38" s="85"/>
      <c r="WSI38" s="85"/>
      <c r="WSJ38" s="85"/>
      <c r="WSK38" s="85"/>
      <c r="WSL38" s="85"/>
      <c r="WSM38" s="85"/>
      <c r="WSN38" s="85"/>
      <c r="WSO38" s="85"/>
      <c r="WSP38" s="85"/>
      <c r="WSQ38" s="85"/>
      <c r="WSR38" s="85"/>
      <c r="WSS38" s="85"/>
      <c r="WST38" s="85"/>
      <c r="WSU38" s="85"/>
      <c r="WSV38" s="85"/>
      <c r="WSW38" s="85"/>
      <c r="WSX38" s="85"/>
      <c r="WSY38" s="85"/>
      <c r="WSZ38" s="85"/>
      <c r="WTA38" s="85"/>
      <c r="WTB38" s="85"/>
      <c r="WTC38" s="85"/>
      <c r="WTD38" s="85"/>
      <c r="WTE38" s="85"/>
      <c r="WTF38" s="85"/>
      <c r="WTG38" s="85"/>
      <c r="WTH38" s="85"/>
      <c r="WTI38" s="85"/>
      <c r="WTJ38" s="85"/>
      <c r="WTK38" s="85"/>
      <c r="WTL38" s="85"/>
      <c r="WTM38" s="85"/>
      <c r="WTN38" s="85"/>
      <c r="WTO38" s="85"/>
      <c r="WTP38" s="85"/>
      <c r="WTQ38" s="85"/>
      <c r="WTR38" s="85"/>
      <c r="WTS38" s="85"/>
      <c r="WTT38" s="85"/>
      <c r="WTU38" s="85"/>
      <c r="WTV38" s="85"/>
      <c r="WTW38" s="85"/>
      <c r="WTX38" s="85"/>
      <c r="WTY38" s="85"/>
      <c r="WTZ38" s="85"/>
      <c r="WUA38" s="85"/>
      <c r="WUB38" s="85"/>
      <c r="WUC38" s="85"/>
      <c r="WUD38" s="85"/>
      <c r="WUE38" s="85"/>
      <c r="WUF38" s="85"/>
      <c r="WUG38" s="85"/>
      <c r="WUH38" s="85"/>
      <c r="WUI38" s="85"/>
      <c r="WUJ38" s="85"/>
      <c r="WUK38" s="85"/>
      <c r="WUL38" s="85"/>
      <c r="WUM38" s="85"/>
      <c r="WUN38" s="85"/>
      <c r="WUO38" s="85"/>
      <c r="WUP38" s="85"/>
      <c r="WUQ38" s="85"/>
      <c r="WUR38" s="85"/>
      <c r="WUS38" s="85"/>
      <c r="WUT38" s="85"/>
      <c r="WUU38" s="85"/>
      <c r="WUV38" s="85"/>
      <c r="WUW38" s="85"/>
      <c r="WUX38" s="85"/>
      <c r="WUY38" s="85"/>
      <c r="WUZ38" s="85"/>
      <c r="WVA38" s="85"/>
      <c r="WVB38" s="85"/>
      <c r="WVC38" s="85"/>
      <c r="WVD38" s="85"/>
      <c r="WVE38" s="85"/>
      <c r="WVF38" s="85"/>
      <c r="WVG38" s="85"/>
      <c r="WVH38" s="85"/>
      <c r="WVI38" s="85"/>
      <c r="WVJ38" s="85"/>
      <c r="WVK38" s="85"/>
      <c r="WVL38" s="85"/>
      <c r="WVM38" s="85"/>
      <c r="WVN38" s="85"/>
      <c r="WVO38" s="85"/>
      <c r="WVP38" s="85"/>
      <c r="WVQ38" s="85"/>
      <c r="WVR38" s="85"/>
      <c r="WVS38" s="85"/>
      <c r="WVT38" s="85"/>
      <c r="WVU38" s="85"/>
      <c r="WVV38" s="85"/>
      <c r="WVW38" s="85"/>
      <c r="WVX38" s="85"/>
      <c r="WVY38" s="85"/>
      <c r="WVZ38" s="85"/>
      <c r="WWA38" s="85"/>
      <c r="WWB38" s="85"/>
      <c r="WWC38" s="85"/>
      <c r="WWD38" s="85"/>
      <c r="WWE38" s="85"/>
      <c r="WWF38" s="85"/>
      <c r="WWG38" s="85"/>
      <c r="WWH38" s="85"/>
      <c r="WWI38" s="85"/>
      <c r="WWJ38" s="85"/>
      <c r="WWK38" s="85"/>
      <c r="WWL38" s="85"/>
      <c r="WWM38" s="85"/>
      <c r="WWN38" s="85"/>
      <c r="WWO38" s="85"/>
      <c r="WWP38" s="85"/>
      <c r="WWQ38" s="85"/>
      <c r="WWR38" s="85"/>
      <c r="WWS38" s="85"/>
      <c r="WWT38" s="85"/>
      <c r="WWU38" s="85"/>
      <c r="WWV38" s="85"/>
      <c r="WWW38" s="85"/>
      <c r="WWX38" s="85"/>
      <c r="WWY38" s="85"/>
      <c r="WWZ38" s="85"/>
      <c r="WXA38" s="85"/>
      <c r="WXB38" s="85"/>
      <c r="WXC38" s="85"/>
      <c r="WXD38" s="85"/>
      <c r="WXE38" s="85"/>
      <c r="WXF38" s="85"/>
      <c r="WXG38" s="85"/>
      <c r="WXH38" s="85"/>
      <c r="WXI38" s="85"/>
      <c r="WXJ38" s="85"/>
      <c r="WXK38" s="85"/>
      <c r="WXL38" s="85"/>
      <c r="WXM38" s="85"/>
      <c r="WXN38" s="85"/>
      <c r="WXO38" s="85"/>
      <c r="WXP38" s="85"/>
      <c r="WXQ38" s="85"/>
      <c r="WXR38" s="85"/>
      <c r="WXS38" s="85"/>
      <c r="WXT38" s="85"/>
      <c r="WXU38" s="85"/>
      <c r="WXV38" s="85"/>
      <c r="WXW38" s="85"/>
      <c r="WXX38" s="85"/>
      <c r="WXY38" s="85"/>
      <c r="WXZ38" s="85"/>
      <c r="WYA38" s="85"/>
      <c r="WYB38" s="85"/>
      <c r="WYC38" s="85"/>
      <c r="WYD38" s="85"/>
      <c r="WYE38" s="85"/>
      <c r="WYF38" s="85"/>
      <c r="WYG38" s="85"/>
      <c r="WYH38" s="85"/>
      <c r="WYI38" s="85"/>
      <c r="WYJ38" s="85"/>
      <c r="WYK38" s="85"/>
      <c r="WYL38" s="85"/>
      <c r="WYM38" s="85"/>
      <c r="WYN38" s="85"/>
      <c r="WYO38" s="85"/>
      <c r="WYP38" s="85"/>
      <c r="WYQ38" s="85"/>
      <c r="WYR38" s="85"/>
      <c r="WYS38" s="85"/>
      <c r="WYT38" s="85"/>
      <c r="WYU38" s="85"/>
      <c r="WYV38" s="85"/>
      <c r="WYW38" s="85"/>
      <c r="WYX38" s="85"/>
      <c r="WYY38" s="85"/>
      <c r="WYZ38" s="85"/>
      <c r="WZA38" s="85"/>
      <c r="WZB38" s="85"/>
      <c r="WZC38" s="85"/>
      <c r="WZD38" s="85"/>
      <c r="WZE38" s="85"/>
      <c r="WZF38" s="85"/>
      <c r="WZG38" s="85"/>
      <c r="WZH38" s="85"/>
      <c r="WZI38" s="85"/>
      <c r="WZJ38" s="85"/>
      <c r="WZK38" s="85"/>
      <c r="WZL38" s="85"/>
      <c r="WZM38" s="85"/>
      <c r="WZN38" s="85"/>
      <c r="WZO38" s="85"/>
      <c r="WZP38" s="85"/>
      <c r="WZQ38" s="85"/>
      <c r="WZR38" s="85"/>
      <c r="WZS38" s="85"/>
      <c r="WZT38" s="85"/>
      <c r="WZU38" s="85"/>
      <c r="WZV38" s="85"/>
      <c r="WZW38" s="85"/>
      <c r="WZX38" s="85"/>
      <c r="WZY38" s="85"/>
      <c r="WZZ38" s="85"/>
      <c r="XAA38" s="85"/>
      <c r="XAB38" s="85"/>
      <c r="XAC38" s="85"/>
      <c r="XAD38" s="85"/>
      <c r="XAE38" s="85"/>
      <c r="XAF38" s="85"/>
      <c r="XAG38" s="85"/>
      <c r="XAH38" s="85"/>
      <c r="XAI38" s="85"/>
      <c r="XAJ38" s="85"/>
      <c r="XAK38" s="85"/>
      <c r="XAL38" s="85"/>
      <c r="XAM38" s="85"/>
      <c r="XAN38" s="85"/>
      <c r="XAO38" s="85"/>
      <c r="XAP38" s="85"/>
      <c r="XAQ38" s="85"/>
      <c r="XAR38" s="85"/>
      <c r="XAS38" s="85"/>
      <c r="XAT38" s="85"/>
      <c r="XAU38" s="85"/>
      <c r="XAV38" s="85"/>
      <c r="XAW38" s="85"/>
      <c r="XAX38" s="85"/>
      <c r="XAY38" s="85"/>
      <c r="XAZ38" s="85"/>
      <c r="XBA38" s="85"/>
      <c r="XBB38" s="85"/>
      <c r="XBC38" s="85"/>
      <c r="XBD38" s="85"/>
      <c r="XBE38" s="85"/>
      <c r="XBF38" s="85"/>
      <c r="XBG38" s="85"/>
      <c r="XBH38" s="85"/>
      <c r="XBI38" s="85"/>
      <c r="XBJ38" s="85"/>
      <c r="XBK38" s="85"/>
      <c r="XBL38" s="85"/>
      <c r="XBM38" s="85"/>
      <c r="XBN38" s="85"/>
      <c r="XBO38" s="85"/>
      <c r="XBP38" s="85"/>
      <c r="XBQ38" s="85"/>
      <c r="XBR38" s="85"/>
      <c r="XBS38" s="85"/>
      <c r="XBT38" s="85"/>
      <c r="XBU38" s="85"/>
      <c r="XBV38" s="85"/>
      <c r="XBW38" s="85"/>
      <c r="XBX38" s="85"/>
      <c r="XBY38" s="85"/>
      <c r="XBZ38" s="85"/>
      <c r="XCA38" s="85"/>
      <c r="XCB38" s="85"/>
      <c r="XCC38" s="85"/>
      <c r="XCD38" s="85"/>
      <c r="XCE38" s="85"/>
      <c r="XCF38" s="85"/>
      <c r="XCG38" s="85"/>
      <c r="XCH38" s="85"/>
      <c r="XCI38" s="85"/>
      <c r="XCJ38" s="85"/>
      <c r="XCK38" s="85"/>
      <c r="XCL38" s="85"/>
      <c r="XCM38" s="85"/>
      <c r="XCN38" s="85"/>
      <c r="XCO38" s="85"/>
      <c r="XCP38" s="85"/>
      <c r="XCQ38" s="85"/>
      <c r="XCR38" s="85"/>
      <c r="XCS38" s="85"/>
      <c r="XCT38" s="85"/>
      <c r="XCU38" s="85"/>
      <c r="XCV38" s="85"/>
      <c r="XCW38" s="85"/>
      <c r="XCX38" s="85"/>
      <c r="XCY38" s="85"/>
      <c r="XCZ38" s="85"/>
      <c r="XDA38" s="85"/>
      <c r="XDB38" s="85"/>
      <c r="XDC38" s="85"/>
      <c r="XDD38" s="85"/>
      <c r="XDE38" s="85"/>
      <c r="XDF38" s="85"/>
      <c r="XDG38" s="85"/>
      <c r="XDH38" s="85"/>
      <c r="XDI38" s="85"/>
      <c r="XDJ38" s="85"/>
      <c r="XDK38" s="85"/>
      <c r="XDL38" s="85"/>
      <c r="XDM38" s="85"/>
      <c r="XDN38" s="85"/>
      <c r="XDO38" s="85"/>
      <c r="XDP38" s="85"/>
      <c r="XDQ38" s="85"/>
      <c r="XDR38" s="85"/>
      <c r="XDS38" s="85"/>
      <c r="XDT38" s="85"/>
      <c r="XDU38" s="85"/>
      <c r="XDV38" s="85"/>
      <c r="XDW38" s="85"/>
      <c r="XDX38" s="85"/>
      <c r="XDY38" s="85"/>
      <c r="XDZ38" s="85"/>
      <c r="XEA38" s="85"/>
      <c r="XEB38" s="85"/>
      <c r="XEC38" s="85"/>
      <c r="XED38" s="85"/>
      <c r="XEE38" s="85"/>
      <c r="XEF38" s="85"/>
      <c r="XEG38" s="85"/>
      <c r="XEH38" s="85"/>
      <c r="XEI38" s="85"/>
      <c r="XEJ38" s="85"/>
      <c r="XEK38" s="85"/>
      <c r="XEL38" s="85"/>
      <c r="XEM38" s="85"/>
      <c r="XEN38" s="85"/>
      <c r="XEO38" s="85"/>
      <c r="XEP38" s="85"/>
      <c r="XEQ38" s="85"/>
      <c r="XER38" s="85"/>
      <c r="XES38" s="85"/>
      <c r="XET38" s="85"/>
      <c r="XEU38" s="85"/>
      <c r="XEV38" s="85"/>
      <c r="XEW38" s="85"/>
      <c r="XEX38" s="85"/>
      <c r="XEY38" s="85"/>
      <c r="XEZ38" s="85"/>
      <c r="XFA38" s="85"/>
      <c r="XFB38" s="85"/>
      <c r="XFC38" s="85"/>
      <c r="XFD38" s="85"/>
    </row>
    <row r="39" spans="1:16384" ht="15" customHeight="1" x14ac:dyDescent="0.2">
      <c r="A39" s="176">
        <v>630.01300000000003</v>
      </c>
      <c r="B39" s="97" t="s">
        <v>138</v>
      </c>
      <c r="C39" s="265">
        <f>RESTORATION!G14</f>
        <v>0.3</v>
      </c>
      <c r="D39" s="99" t="s">
        <v>55</v>
      </c>
      <c r="E39" s="100">
        <v>45</v>
      </c>
      <c r="F39" s="595">
        <v>45</v>
      </c>
      <c r="G39" s="100">
        <f t="shared" si="1"/>
        <v>13.5</v>
      </c>
      <c r="H39" s="595">
        <v>13.5</v>
      </c>
      <c r="I39" s="592">
        <f t="shared" si="2"/>
        <v>0</v>
      </c>
      <c r="J39" s="588" t="s">
        <v>325</v>
      </c>
      <c r="K39" s="95">
        <v>45</v>
      </c>
      <c r="L39" s="96">
        <f t="shared" si="0"/>
        <v>1.2000898413923932E-5</v>
      </c>
      <c r="M39" s="101"/>
    </row>
    <row r="40" spans="1:16384" ht="15" customHeight="1" x14ac:dyDescent="0.2">
      <c r="A40" s="176">
        <v>633.52</v>
      </c>
      <c r="B40" s="97" t="s">
        <v>67</v>
      </c>
      <c r="C40" s="98">
        <f>'633.5200'!D10</f>
        <v>4</v>
      </c>
      <c r="D40" s="99" t="s">
        <v>4</v>
      </c>
      <c r="E40" s="100">
        <v>48</v>
      </c>
      <c r="F40" s="595">
        <v>48</v>
      </c>
      <c r="G40" s="100">
        <f t="shared" si="1"/>
        <v>192</v>
      </c>
      <c r="H40" s="595">
        <v>192</v>
      </c>
      <c r="I40" s="592">
        <f t="shared" si="2"/>
        <v>0</v>
      </c>
      <c r="J40" s="587">
        <v>50.01</v>
      </c>
      <c r="K40" s="95">
        <v>47.25</v>
      </c>
      <c r="L40" s="96">
        <f t="shared" si="0"/>
        <v>1.7067944410914036E-4</v>
      </c>
      <c r="M40" s="101"/>
    </row>
    <row r="41" spans="1:16384" ht="15" customHeight="1" x14ac:dyDescent="0.2">
      <c r="A41" s="176">
        <v>634.06140000000005</v>
      </c>
      <c r="B41" s="97" t="s">
        <v>164</v>
      </c>
      <c r="C41" s="98">
        <f>'Signing '!E12</f>
        <v>10</v>
      </c>
      <c r="D41" s="99" t="s">
        <v>4</v>
      </c>
      <c r="E41" s="100">
        <v>59</v>
      </c>
      <c r="F41" s="595">
        <v>59</v>
      </c>
      <c r="G41" s="100">
        <f t="shared" si="1"/>
        <v>590</v>
      </c>
      <c r="H41" s="595">
        <v>590</v>
      </c>
      <c r="I41" s="592">
        <f t="shared" si="2"/>
        <v>0</v>
      </c>
      <c r="J41" s="587">
        <v>58</v>
      </c>
      <c r="K41" s="95">
        <v>59.06</v>
      </c>
      <c r="L41" s="391">
        <f t="shared" ref="L41:L61" si="3">G41/$G$73</f>
        <v>5.2448370846037919E-4</v>
      </c>
      <c r="M41" s="101"/>
    </row>
    <row r="42" spans="1:16384" ht="15" customHeight="1" x14ac:dyDescent="0.2">
      <c r="A42" s="189">
        <v>638.21019999999999</v>
      </c>
      <c r="B42" s="97" t="s">
        <v>405</v>
      </c>
      <c r="C42" s="98">
        <f>'Signing '!F12</f>
        <v>10</v>
      </c>
      <c r="D42" s="99" t="s">
        <v>4</v>
      </c>
      <c r="E42" s="100">
        <v>24.8</v>
      </c>
      <c r="F42" s="595">
        <v>24.8</v>
      </c>
      <c r="G42" s="100">
        <f t="shared" si="1"/>
        <v>248</v>
      </c>
      <c r="H42" s="595">
        <v>248</v>
      </c>
      <c r="I42" s="592">
        <f t="shared" si="2"/>
        <v>0</v>
      </c>
      <c r="J42" s="587">
        <v>22.65</v>
      </c>
      <c r="K42" s="95">
        <v>24.79</v>
      </c>
      <c r="L42" s="96">
        <f t="shared" si="3"/>
        <v>2.2046094864097297E-4</v>
      </c>
      <c r="M42" s="101"/>
    </row>
    <row r="43" spans="1:16384" ht="15" customHeight="1" x14ac:dyDescent="0.2">
      <c r="A43" s="190">
        <v>638.29999999999995</v>
      </c>
      <c r="B43" s="97" t="s">
        <v>139</v>
      </c>
      <c r="C43" s="98">
        <f>'Signing '!G12</f>
        <v>10</v>
      </c>
      <c r="D43" s="99" t="s">
        <v>4</v>
      </c>
      <c r="E43" s="100">
        <v>24.9</v>
      </c>
      <c r="F43" s="595">
        <v>24.9</v>
      </c>
      <c r="G43" s="100">
        <f t="shared" si="1"/>
        <v>249</v>
      </c>
      <c r="H43" s="595">
        <v>249</v>
      </c>
      <c r="I43" s="592">
        <f t="shared" si="2"/>
        <v>0</v>
      </c>
      <c r="J43" s="587">
        <v>21.78</v>
      </c>
      <c r="K43" s="95">
        <v>24.9</v>
      </c>
      <c r="L43" s="96">
        <f t="shared" si="3"/>
        <v>2.2134990407904142E-4</v>
      </c>
      <c r="M43" s="101"/>
    </row>
    <row r="44" spans="1:16384" ht="15" customHeight="1" x14ac:dyDescent="0.2">
      <c r="A44" s="176">
        <v>642.50009999999997</v>
      </c>
      <c r="B44" s="97" t="s">
        <v>95</v>
      </c>
      <c r="C44" s="98">
        <f>'642.5001'!B10</f>
        <v>1</v>
      </c>
      <c r="D44" s="99" t="s">
        <v>4</v>
      </c>
      <c r="E44" s="100">
        <v>6000</v>
      </c>
      <c r="F44" s="595">
        <v>6000</v>
      </c>
      <c r="G44" s="100">
        <f t="shared" si="1"/>
        <v>6000</v>
      </c>
      <c r="H44" s="595">
        <v>6000</v>
      </c>
      <c r="I44" s="592">
        <f t="shared" si="2"/>
        <v>0</v>
      </c>
      <c r="J44" s="588">
        <v>5837.26</v>
      </c>
      <c r="K44" s="95">
        <v>5500</v>
      </c>
      <c r="L44" s="96">
        <f t="shared" si="3"/>
        <v>5.3337326284106359E-3</v>
      </c>
      <c r="M44" s="101"/>
    </row>
    <row r="45" spans="1:16384" ht="15" customHeight="1" x14ac:dyDescent="0.2">
      <c r="A45" s="176">
        <v>643.03</v>
      </c>
      <c r="B45" s="97" t="s">
        <v>140</v>
      </c>
      <c r="C45" s="98">
        <f>'643_TC'!E14</f>
        <v>2050</v>
      </c>
      <c r="D45" s="99" t="s">
        <v>75</v>
      </c>
      <c r="E45" s="100">
        <v>0.5</v>
      </c>
      <c r="F45" s="595">
        <v>0.5</v>
      </c>
      <c r="G45" s="100">
        <f t="shared" si="1"/>
        <v>1025</v>
      </c>
      <c r="H45" s="595">
        <v>1025</v>
      </c>
      <c r="I45" s="592">
        <f t="shared" si="2"/>
        <v>0</v>
      </c>
      <c r="J45" s="587">
        <v>0.80500000000000005</v>
      </c>
      <c r="K45" s="95">
        <v>0.5</v>
      </c>
      <c r="L45" s="96">
        <f t="shared" si="3"/>
        <v>9.1117932402015036E-4</v>
      </c>
      <c r="M45" s="101"/>
    </row>
    <row r="46" spans="1:16384" ht="15" customHeight="1" x14ac:dyDescent="0.2">
      <c r="A46" s="176" t="s">
        <v>169</v>
      </c>
      <c r="B46" s="97" t="s">
        <v>170</v>
      </c>
      <c r="C46" s="98">
        <f>'643.0310.S'!B9</f>
        <v>1</v>
      </c>
      <c r="D46" s="99" t="s">
        <v>8</v>
      </c>
      <c r="E46" s="583">
        <v>1500</v>
      </c>
      <c r="F46" s="595">
        <v>8000</v>
      </c>
      <c r="G46" s="100">
        <f t="shared" si="1"/>
        <v>1500</v>
      </c>
      <c r="H46" s="595">
        <v>8000</v>
      </c>
      <c r="I46" s="592">
        <f t="shared" si="2"/>
        <v>-0.8125</v>
      </c>
      <c r="J46" s="588" t="s">
        <v>325</v>
      </c>
      <c r="K46" s="95">
        <v>1000</v>
      </c>
      <c r="L46" s="96">
        <f t="shared" si="3"/>
        <v>1.333433157102659E-3</v>
      </c>
      <c r="M46" s="101"/>
    </row>
    <row r="47" spans="1:16384" ht="15" customHeight="1" x14ac:dyDescent="0.2">
      <c r="A47" s="176">
        <v>643.07150000000001</v>
      </c>
      <c r="B47" s="97" t="s">
        <v>141</v>
      </c>
      <c r="C47" s="98">
        <f>'643_TC'!H14</f>
        <v>2050</v>
      </c>
      <c r="D47" s="99" t="s">
        <v>75</v>
      </c>
      <c r="E47" s="100">
        <v>0.35</v>
      </c>
      <c r="F47" s="595">
        <v>0.35</v>
      </c>
      <c r="G47" s="100">
        <f t="shared" ref="G47:G63" si="4">C47*E47</f>
        <v>717.5</v>
      </c>
      <c r="H47" s="595">
        <v>717.5</v>
      </c>
      <c r="I47" s="592">
        <f t="shared" si="2"/>
        <v>0</v>
      </c>
      <c r="J47" s="587">
        <v>0.27</v>
      </c>
      <c r="K47" s="95">
        <v>0.38</v>
      </c>
      <c r="L47" s="96">
        <f t="shared" si="3"/>
        <v>6.3782552681410521E-4</v>
      </c>
      <c r="M47" s="101"/>
    </row>
    <row r="48" spans="1:16384" ht="15" customHeight="1" x14ac:dyDescent="0.2">
      <c r="A48" s="176">
        <v>643.09</v>
      </c>
      <c r="B48" s="97" t="s">
        <v>142</v>
      </c>
      <c r="C48" s="98">
        <f>'643_TC'!L14</f>
        <v>4650</v>
      </c>
      <c r="D48" s="99" t="s">
        <v>75</v>
      </c>
      <c r="E48" s="100">
        <v>0.8</v>
      </c>
      <c r="F48" s="595">
        <v>0.8</v>
      </c>
      <c r="G48" s="100">
        <f t="shared" si="4"/>
        <v>3720</v>
      </c>
      <c r="H48" s="595">
        <v>3720</v>
      </c>
      <c r="I48" s="592">
        <f t="shared" si="2"/>
        <v>0</v>
      </c>
      <c r="J48" s="587">
        <v>0.96</v>
      </c>
      <c r="K48" s="95">
        <v>0.71</v>
      </c>
      <c r="L48" s="96">
        <f t="shared" si="3"/>
        <v>3.3069142296145945E-3</v>
      </c>
      <c r="M48" s="101"/>
    </row>
    <row r="49" spans="1:13" ht="15" customHeight="1" x14ac:dyDescent="0.2">
      <c r="A49" s="102">
        <v>643.1</v>
      </c>
      <c r="B49" s="97" t="s">
        <v>143</v>
      </c>
      <c r="C49" s="98">
        <f>'643_TC'!N14</f>
        <v>36</v>
      </c>
      <c r="D49" s="99" t="s">
        <v>72</v>
      </c>
      <c r="E49" s="100">
        <v>20</v>
      </c>
      <c r="F49" s="595">
        <v>20</v>
      </c>
      <c r="G49" s="100">
        <f t="shared" si="4"/>
        <v>720</v>
      </c>
      <c r="H49" s="595">
        <v>720</v>
      </c>
      <c r="I49" s="592">
        <f t="shared" si="2"/>
        <v>0</v>
      </c>
      <c r="J49" s="587">
        <v>15.52</v>
      </c>
      <c r="K49" s="95">
        <v>19.579999999999998</v>
      </c>
      <c r="L49" s="96">
        <f t="shared" si="3"/>
        <v>6.4004791540927641E-4</v>
      </c>
      <c r="M49" s="101"/>
    </row>
    <row r="50" spans="1:13" ht="55.5" customHeight="1" x14ac:dyDescent="0.2">
      <c r="A50" s="102">
        <v>643.5</v>
      </c>
      <c r="B50" s="97" t="s">
        <v>74</v>
      </c>
      <c r="C50" s="98">
        <f>'643.5000'!B9</f>
        <v>1</v>
      </c>
      <c r="D50" s="99" t="s">
        <v>4</v>
      </c>
      <c r="E50" s="583">
        <v>3000</v>
      </c>
      <c r="F50" s="595">
        <v>5000</v>
      </c>
      <c r="G50" s="100">
        <f t="shared" si="4"/>
        <v>3000</v>
      </c>
      <c r="H50" s="595">
        <v>5000</v>
      </c>
      <c r="I50" s="592">
        <f t="shared" si="2"/>
        <v>-0.4</v>
      </c>
      <c r="J50" s="587">
        <v>4552.3500000000004</v>
      </c>
      <c r="K50" s="95">
        <v>2983</v>
      </c>
      <c r="L50" s="96">
        <f t="shared" si="3"/>
        <v>2.666866314205318E-3</v>
      </c>
      <c r="M50" s="560" t="s">
        <v>393</v>
      </c>
    </row>
    <row r="51" spans="1:13" ht="15" customHeight="1" x14ac:dyDescent="0.2">
      <c r="A51" s="176">
        <v>646.10199999999998</v>
      </c>
      <c r="B51" s="97" t="s">
        <v>144</v>
      </c>
      <c r="C51" s="98">
        <f>'646.0106_PM'!D15</f>
        <v>32078</v>
      </c>
      <c r="D51" s="99" t="s">
        <v>14</v>
      </c>
      <c r="E51" s="583">
        <v>0.6</v>
      </c>
      <c r="F51" s="595">
        <v>0.5</v>
      </c>
      <c r="G51" s="100">
        <f t="shared" si="4"/>
        <v>19246.8</v>
      </c>
      <c r="H51" s="595">
        <v>16039</v>
      </c>
      <c r="I51" s="592">
        <f t="shared" si="2"/>
        <v>0.19999999999999996</v>
      </c>
      <c r="J51" s="587">
        <v>0.55000000000000004</v>
      </c>
      <c r="K51" s="95">
        <v>0.73</v>
      </c>
      <c r="L51" s="96">
        <f t="shared" si="3"/>
        <v>1.7109547525415637E-2</v>
      </c>
      <c r="M51" s="101"/>
    </row>
    <row r="52" spans="1:13" ht="56.25" customHeight="1" x14ac:dyDescent="0.2">
      <c r="A52" s="176">
        <v>646.10400000000004</v>
      </c>
      <c r="B52" s="97" t="s">
        <v>145</v>
      </c>
      <c r="C52" s="98">
        <f>'646.0106_PM'!E15</f>
        <v>42066</v>
      </c>
      <c r="D52" s="99" t="s">
        <v>14</v>
      </c>
      <c r="E52" s="583">
        <v>1.6</v>
      </c>
      <c r="F52" s="595">
        <v>1.35</v>
      </c>
      <c r="G52" s="100">
        <f t="shared" si="4"/>
        <v>67305.600000000006</v>
      </c>
      <c r="H52" s="595">
        <v>56789.1</v>
      </c>
      <c r="I52" s="592">
        <f t="shared" si="2"/>
        <v>0.18518518518518531</v>
      </c>
      <c r="J52" s="587">
        <v>1.087</v>
      </c>
      <c r="K52" s="95">
        <v>1.51</v>
      </c>
      <c r="L52" s="186">
        <f t="shared" si="3"/>
        <v>5.983167913245916E-2</v>
      </c>
      <c r="M52" s="487" t="s">
        <v>377</v>
      </c>
    </row>
    <row r="53" spans="1:13" ht="15" customHeight="1" x14ac:dyDescent="0.2">
      <c r="A53" s="176">
        <v>646.30399999999997</v>
      </c>
      <c r="B53" s="97" t="s">
        <v>370</v>
      </c>
      <c r="C53" s="98">
        <f>'646.0106_PM'!F15</f>
        <v>964</v>
      </c>
      <c r="D53" s="99" t="s">
        <v>14</v>
      </c>
      <c r="E53" s="100">
        <v>3</v>
      </c>
      <c r="F53" s="595">
        <v>3</v>
      </c>
      <c r="G53" s="100">
        <f t="shared" si="4"/>
        <v>2892</v>
      </c>
      <c r="H53" s="595">
        <v>2892</v>
      </c>
      <c r="I53" s="592">
        <f t="shared" si="2"/>
        <v>0</v>
      </c>
      <c r="J53" s="587">
        <v>2.81</v>
      </c>
      <c r="K53" s="95">
        <v>3.1</v>
      </c>
      <c r="L53" s="96">
        <f t="shared" si="3"/>
        <v>2.5708591268939268E-3</v>
      </c>
      <c r="M53" s="101"/>
    </row>
    <row r="54" spans="1:13" ht="53.25" customHeight="1" x14ac:dyDescent="0.2">
      <c r="A54" s="183">
        <v>646.452</v>
      </c>
      <c r="B54" s="97" t="s">
        <v>362</v>
      </c>
      <c r="C54" s="98">
        <f>'646.0106_PM'!G15</f>
        <v>32078</v>
      </c>
      <c r="D54" s="99" t="s">
        <v>14</v>
      </c>
      <c r="E54" s="583">
        <v>1.5</v>
      </c>
      <c r="F54" s="595">
        <v>1.2</v>
      </c>
      <c r="G54" s="100">
        <f t="shared" si="4"/>
        <v>48117</v>
      </c>
      <c r="H54" s="595">
        <v>38493.599999999999</v>
      </c>
      <c r="I54" s="592">
        <f t="shared" si="2"/>
        <v>0.25000000000000006</v>
      </c>
      <c r="J54" s="587">
        <v>0.86</v>
      </c>
      <c r="K54" s="95">
        <v>1.51</v>
      </c>
      <c r="L54" s="186">
        <f t="shared" si="3"/>
        <v>4.2773868813539097E-2</v>
      </c>
      <c r="M54" s="487" t="s">
        <v>378</v>
      </c>
    </row>
    <row r="55" spans="1:13" ht="15" customHeight="1" x14ac:dyDescent="0.2">
      <c r="A55" s="183">
        <v>648.01</v>
      </c>
      <c r="B55" s="97" t="s">
        <v>165</v>
      </c>
      <c r="C55" s="265">
        <f>ROUND('648.0100'!D9,2)</f>
        <v>4.0599999999999996</v>
      </c>
      <c r="D55" s="99" t="s">
        <v>166</v>
      </c>
      <c r="E55" s="583">
        <v>380</v>
      </c>
      <c r="F55" s="595">
        <v>350</v>
      </c>
      <c r="G55" s="100">
        <f t="shared" si="4"/>
        <v>1542.8</v>
      </c>
      <c r="H55" s="595">
        <v>1421</v>
      </c>
      <c r="I55" s="592">
        <f t="shared" si="2"/>
        <v>8.5714285714285687E-2</v>
      </c>
      <c r="J55" s="587">
        <v>466.24</v>
      </c>
      <c r="K55" s="95">
        <v>377.5</v>
      </c>
      <c r="L55" s="96">
        <f t="shared" si="3"/>
        <v>1.3714804498519881E-3</v>
      </c>
      <c r="M55" s="101"/>
    </row>
    <row r="56" spans="1:13" ht="15" customHeight="1" x14ac:dyDescent="0.2">
      <c r="A56" s="183">
        <v>649.01049999999998</v>
      </c>
      <c r="B56" s="97" t="s">
        <v>208</v>
      </c>
      <c r="C56" s="98">
        <f>'646.0106_PM'!H15</f>
        <v>32078</v>
      </c>
      <c r="D56" s="99" t="s">
        <v>14</v>
      </c>
      <c r="E56" s="100">
        <v>0.4</v>
      </c>
      <c r="F56" s="595">
        <v>0.4</v>
      </c>
      <c r="G56" s="100">
        <f t="shared" si="4"/>
        <v>12831.2</v>
      </c>
      <c r="H56" s="595">
        <v>12831.2</v>
      </c>
      <c r="I56" s="592">
        <f t="shared" si="2"/>
        <v>0</v>
      </c>
      <c r="J56" s="587">
        <v>0.41</v>
      </c>
      <c r="K56" s="95">
        <v>0.39</v>
      </c>
      <c r="L56" s="96">
        <f t="shared" si="3"/>
        <v>1.1406365016943761E-2</v>
      </c>
      <c r="M56" s="101"/>
    </row>
    <row r="57" spans="1:13" ht="15" customHeight="1" x14ac:dyDescent="0.2">
      <c r="A57" s="185">
        <v>650.79999999999995</v>
      </c>
      <c r="B57" s="97" t="s">
        <v>167</v>
      </c>
      <c r="C57" s="98">
        <f>STAKING!D12</f>
        <v>21411</v>
      </c>
      <c r="D57" s="99" t="s">
        <v>14</v>
      </c>
      <c r="E57" s="100">
        <v>0.08</v>
      </c>
      <c r="F57" s="595">
        <v>0.08</v>
      </c>
      <c r="G57" s="100">
        <f t="shared" si="4"/>
        <v>1712.88</v>
      </c>
      <c r="H57" s="595">
        <v>1712.88</v>
      </c>
      <c r="I57" s="592">
        <f t="shared" si="2"/>
        <v>0</v>
      </c>
      <c r="J57" s="587">
        <v>0.1</v>
      </c>
      <c r="K57" s="95">
        <v>0.06</v>
      </c>
      <c r="L57" s="96">
        <f t="shared" si="3"/>
        <v>1.5226739907586685E-3</v>
      </c>
      <c r="M57" s="101"/>
    </row>
    <row r="58" spans="1:13" ht="15" customHeight="1" x14ac:dyDescent="0.2">
      <c r="A58" s="102" t="s">
        <v>85</v>
      </c>
      <c r="B58" s="97" t="s">
        <v>157</v>
      </c>
      <c r="C58" s="98">
        <f>STAKING!E12</f>
        <v>1</v>
      </c>
      <c r="D58" s="99" t="s">
        <v>8</v>
      </c>
      <c r="E58" s="100">
        <v>100</v>
      </c>
      <c r="F58" s="595">
        <v>100</v>
      </c>
      <c r="G58" s="100">
        <f t="shared" si="4"/>
        <v>100</v>
      </c>
      <c r="H58" s="595">
        <v>100</v>
      </c>
      <c r="I58" s="592">
        <f t="shared" si="2"/>
        <v>0</v>
      </c>
      <c r="J58" s="588" t="s">
        <v>325</v>
      </c>
      <c r="K58" s="95">
        <v>100</v>
      </c>
      <c r="L58" s="96">
        <f t="shared" si="3"/>
        <v>8.8895543806843938E-5</v>
      </c>
      <c r="M58" s="101"/>
    </row>
    <row r="59" spans="1:13" ht="15" customHeight="1" x14ac:dyDescent="0.2">
      <c r="A59" s="220">
        <v>690.01499999999999</v>
      </c>
      <c r="B59" s="97" t="s">
        <v>90</v>
      </c>
      <c r="C59" s="98">
        <f>ROUND('690.0150'!B9,0)</f>
        <v>2783</v>
      </c>
      <c r="D59" s="99" t="s">
        <v>14</v>
      </c>
      <c r="E59" s="100">
        <v>2.5</v>
      </c>
      <c r="F59" s="595">
        <v>2.5</v>
      </c>
      <c r="G59" s="100">
        <f t="shared" si="4"/>
        <v>6957.5</v>
      </c>
      <c r="H59" s="595">
        <v>6957.5</v>
      </c>
      <c r="I59" s="592">
        <f t="shared" si="2"/>
        <v>0</v>
      </c>
      <c r="J59" s="587">
        <v>1.68</v>
      </c>
      <c r="K59" s="95">
        <v>2.35</v>
      </c>
      <c r="L59" s="221">
        <f t="shared" si="3"/>
        <v>6.1849074603611666E-3</v>
      </c>
      <c r="M59" s="101"/>
    </row>
    <row r="60" spans="1:13" ht="15" customHeight="1" x14ac:dyDescent="0.2">
      <c r="A60" s="102">
        <v>740.04399999999998</v>
      </c>
      <c r="B60" s="97" t="s">
        <v>91</v>
      </c>
      <c r="C60" s="98">
        <f>ROUND('440.4410(NO LONGER NEEDED)'!D12,0)</f>
        <v>16053</v>
      </c>
      <c r="D60" s="99" t="s">
        <v>92</v>
      </c>
      <c r="E60" s="100">
        <v>1</v>
      </c>
      <c r="F60" s="595">
        <v>1</v>
      </c>
      <c r="G60" s="100">
        <f>C60*E60</f>
        <v>16053</v>
      </c>
      <c r="H60" s="595">
        <v>16053</v>
      </c>
      <c r="I60" s="592">
        <f t="shared" si="2"/>
        <v>0</v>
      </c>
      <c r="J60" s="588" t="s">
        <v>325</v>
      </c>
      <c r="K60" s="188" t="s">
        <v>325</v>
      </c>
      <c r="L60" s="96">
        <f>G60/$G$73</f>
        <v>1.4270401647312657E-2</v>
      </c>
      <c r="M60" s="187"/>
    </row>
    <row r="61" spans="1:13" ht="52.5" customHeight="1" x14ac:dyDescent="0.2">
      <c r="A61" s="490" t="s">
        <v>175</v>
      </c>
      <c r="B61" s="478" t="s">
        <v>406</v>
      </c>
      <c r="C61" s="98">
        <f>'SPV.0060.01'!D10</f>
        <v>2</v>
      </c>
      <c r="D61" s="479" t="s">
        <v>4</v>
      </c>
      <c r="E61" s="582">
        <v>1250</v>
      </c>
      <c r="F61" s="596">
        <v>860</v>
      </c>
      <c r="G61" s="480">
        <f t="shared" si="4"/>
        <v>2500</v>
      </c>
      <c r="H61" s="596">
        <v>1720</v>
      </c>
      <c r="I61" s="592">
        <f t="shared" si="2"/>
        <v>0.45348837209302323</v>
      </c>
      <c r="J61" s="589" t="s">
        <v>325</v>
      </c>
      <c r="K61" s="481">
        <v>1242.5</v>
      </c>
      <c r="L61" s="482">
        <f t="shared" si="3"/>
        <v>2.2223885951710987E-3</v>
      </c>
      <c r="M61" s="489" t="s">
        <v>377</v>
      </c>
    </row>
    <row r="62" spans="1:13" ht="15" customHeight="1" x14ac:dyDescent="0.2">
      <c r="A62" s="477" t="s">
        <v>326</v>
      </c>
      <c r="B62" s="478" t="s">
        <v>328</v>
      </c>
      <c r="C62" s="284">
        <v>1200</v>
      </c>
      <c r="D62" s="479" t="s">
        <v>330</v>
      </c>
      <c r="E62" s="480">
        <v>5</v>
      </c>
      <c r="F62" s="596">
        <v>5</v>
      </c>
      <c r="G62" s="480">
        <f t="shared" si="4"/>
        <v>6000</v>
      </c>
      <c r="H62" s="596">
        <v>6000</v>
      </c>
      <c r="I62" s="592">
        <f t="shared" si="2"/>
        <v>0</v>
      </c>
      <c r="J62" s="589" t="s">
        <v>325</v>
      </c>
      <c r="K62" s="486" t="s">
        <v>325</v>
      </c>
      <c r="L62" s="482">
        <f t="shared" ref="L62:L63" si="5">G62/$G$73</f>
        <v>5.3337326284106359E-3</v>
      </c>
      <c r="M62" s="483" t="s">
        <v>332</v>
      </c>
    </row>
    <row r="63" spans="1:13" ht="15" customHeight="1" thickBot="1" x14ac:dyDescent="0.25">
      <c r="A63" s="278" t="s">
        <v>327</v>
      </c>
      <c r="B63" s="279" t="s">
        <v>329</v>
      </c>
      <c r="C63" s="280">
        <v>600</v>
      </c>
      <c r="D63" s="281" t="s">
        <v>330</v>
      </c>
      <c r="E63" s="282">
        <v>5</v>
      </c>
      <c r="F63" s="597">
        <v>5</v>
      </c>
      <c r="G63" s="282">
        <f t="shared" si="4"/>
        <v>3000</v>
      </c>
      <c r="H63" s="597">
        <v>3000</v>
      </c>
      <c r="I63" s="593">
        <f t="shared" si="2"/>
        <v>0</v>
      </c>
      <c r="J63" s="590" t="s">
        <v>325</v>
      </c>
      <c r="K63" s="471" t="s">
        <v>325</v>
      </c>
      <c r="L63" s="484">
        <f t="shared" si="5"/>
        <v>2.666866314205318E-3</v>
      </c>
      <c r="M63" s="283" t="s">
        <v>332</v>
      </c>
    </row>
    <row r="64" spans="1:13" ht="15" customHeight="1" thickTop="1" x14ac:dyDescent="0.2">
      <c r="A64" s="473"/>
      <c r="B64" s="219"/>
      <c r="C64" s="284"/>
      <c r="D64" s="115"/>
      <c r="E64" s="147"/>
      <c r="F64" s="147"/>
      <c r="G64" s="147"/>
      <c r="H64" s="147"/>
      <c r="I64" s="147"/>
      <c r="J64" s="474"/>
      <c r="K64" s="147"/>
      <c r="L64" s="475"/>
      <c r="M64" s="476"/>
    </row>
    <row r="65" spans="1:34" s="113" customFormat="1" ht="15" x14ac:dyDescent="0.25">
      <c r="A65" s="105"/>
      <c r="B65" s="106"/>
      <c r="C65" s="107"/>
      <c r="D65" s="108"/>
      <c r="E65" s="108"/>
      <c r="F65" s="108"/>
      <c r="G65" s="109"/>
      <c r="H65" s="109"/>
      <c r="I65" s="109"/>
      <c r="J65" s="108"/>
      <c r="K65" s="109"/>
      <c r="L65" s="110"/>
      <c r="M65" s="110"/>
      <c r="N65" s="111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</row>
    <row r="66" spans="1:34" ht="15" x14ac:dyDescent="0.2">
      <c r="A66" s="114"/>
      <c r="B66" s="115"/>
      <c r="C66" s="85"/>
      <c r="D66" s="85"/>
      <c r="E66" s="85"/>
      <c r="F66" s="85"/>
      <c r="G66" s="85"/>
      <c r="H66" s="85"/>
      <c r="I66" s="85"/>
      <c r="J66" s="85"/>
      <c r="K66" s="85"/>
      <c r="L66" s="116"/>
      <c r="M66" s="117"/>
      <c r="O66" s="118"/>
      <c r="P66" s="119"/>
      <c r="Q66" s="83"/>
      <c r="R66" s="84"/>
      <c r="S66" s="84"/>
      <c r="T66" s="84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</row>
    <row r="67" spans="1:34" x14ac:dyDescent="0.2">
      <c r="A67" s="120"/>
      <c r="B67" s="121"/>
      <c r="C67" s="122"/>
      <c r="D67" s="122" t="s">
        <v>331</v>
      </c>
      <c r="E67" s="123"/>
      <c r="F67" s="123"/>
      <c r="G67" s="124">
        <f>SUM(G9:G63)</f>
        <v>1124915.7799999998</v>
      </c>
      <c r="H67" s="598">
        <f>SUM(H9:H63)</f>
        <v>1015157.08</v>
      </c>
      <c r="I67" s="472"/>
      <c r="J67" s="123"/>
      <c r="K67" s="125" t="s">
        <v>146</v>
      </c>
      <c r="L67" s="126">
        <f>SUM(L11,L18,L27,L15,L52,L54)</f>
        <v>0.82466493624971648</v>
      </c>
      <c r="M67" s="127"/>
      <c r="O67" s="118"/>
      <c r="P67" s="119"/>
      <c r="Q67" s="83"/>
      <c r="R67" s="84"/>
      <c r="S67" s="84"/>
      <c r="T67" s="84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</row>
    <row r="68" spans="1:34" ht="15" x14ac:dyDescent="0.2">
      <c r="A68" s="128"/>
      <c r="B68" s="129"/>
      <c r="C68" s="130"/>
      <c r="D68" s="130"/>
      <c r="E68" s="123"/>
      <c r="F68" s="123"/>
      <c r="G68" s="131"/>
      <c r="H68" s="131"/>
      <c r="I68" s="131"/>
      <c r="J68" s="123"/>
      <c r="K68" s="117"/>
      <c r="L68" s="116"/>
      <c r="M68" s="132"/>
      <c r="O68" s="118"/>
      <c r="P68" s="119"/>
      <c r="Q68" s="83"/>
      <c r="R68" s="84"/>
      <c r="S68" s="84"/>
      <c r="T68" s="84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</row>
    <row r="69" spans="1:34" ht="15" x14ac:dyDescent="0.2">
      <c r="A69" s="120"/>
      <c r="B69" s="133"/>
      <c r="C69" s="122"/>
      <c r="D69" s="122"/>
      <c r="E69" s="123"/>
      <c r="F69" s="123"/>
      <c r="G69" s="472"/>
      <c r="H69" s="472"/>
      <c r="I69" s="472"/>
      <c r="J69" s="123"/>
      <c r="K69" s="134" t="s">
        <v>147</v>
      </c>
      <c r="L69" s="135">
        <f>G27/G73</f>
        <v>8.0005989426159538E-2</v>
      </c>
      <c r="M69" s="117"/>
      <c r="O69" s="118"/>
      <c r="P69" s="119"/>
      <c r="Q69" s="83"/>
      <c r="R69" s="84"/>
      <c r="S69" s="84"/>
      <c r="T69" s="84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</row>
    <row r="70" spans="1:34" ht="15" x14ac:dyDescent="0.2">
      <c r="A70" s="120"/>
      <c r="B70" s="133"/>
      <c r="C70" s="122"/>
      <c r="D70" s="122"/>
      <c r="E70" s="123"/>
      <c r="F70" s="123"/>
      <c r="G70" s="140"/>
      <c r="H70" s="140"/>
      <c r="I70" s="140"/>
      <c r="J70" s="123"/>
      <c r="K70" s="136"/>
      <c r="L70" s="135"/>
      <c r="M70" s="117"/>
      <c r="O70" s="118"/>
      <c r="P70" s="119"/>
      <c r="Q70" s="83"/>
      <c r="R70" s="84"/>
      <c r="S70" s="84"/>
      <c r="T70" s="84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</row>
    <row r="71" spans="1:34" ht="15" x14ac:dyDescent="0.2">
      <c r="A71" s="137"/>
      <c r="B71" s="131"/>
      <c r="C71" s="138"/>
      <c r="D71" s="138"/>
      <c r="E71" s="121"/>
      <c r="F71" s="121"/>
      <c r="G71" s="472"/>
      <c r="H71" s="472"/>
      <c r="I71" s="472"/>
      <c r="J71" s="121"/>
      <c r="K71" s="134" t="s">
        <v>148</v>
      </c>
      <c r="L71" s="135">
        <f>SUM(G45:G50)/G73</f>
        <v>9.4962664671661041E-3</v>
      </c>
      <c r="M71" s="127"/>
      <c r="O71" s="119"/>
      <c r="P71" s="119"/>
      <c r="Q71" s="83"/>
      <c r="R71" s="84"/>
      <c r="S71" s="84"/>
      <c r="T71" s="84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</row>
    <row r="72" spans="1:34" ht="15" x14ac:dyDescent="0.2">
      <c r="A72" s="137"/>
      <c r="B72" s="131"/>
      <c r="C72" s="139"/>
      <c r="D72" s="139"/>
      <c r="E72" s="121"/>
      <c r="F72" s="121"/>
      <c r="G72" s="140"/>
      <c r="H72" s="140"/>
      <c r="I72" s="140"/>
      <c r="J72" s="121"/>
      <c r="K72" s="131"/>
      <c r="L72" s="141"/>
      <c r="M72" s="127"/>
      <c r="O72" s="119"/>
      <c r="P72" s="119"/>
      <c r="Q72" s="83"/>
      <c r="R72" s="84"/>
      <c r="S72" s="84"/>
      <c r="T72" s="84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</row>
    <row r="73" spans="1:34" x14ac:dyDescent="0.2">
      <c r="A73" s="120"/>
      <c r="B73" s="131"/>
      <c r="C73" s="142"/>
      <c r="D73" s="142" t="s">
        <v>149</v>
      </c>
      <c r="E73" s="121"/>
      <c r="F73" s="121"/>
      <c r="G73" s="124">
        <f>G67+G69+G71</f>
        <v>1124915.7799999998</v>
      </c>
      <c r="H73" s="472"/>
      <c r="I73" s="472"/>
      <c r="J73" s="121"/>
      <c r="K73" s="143"/>
      <c r="L73" s="117"/>
      <c r="M73" s="117"/>
      <c r="O73" s="119"/>
      <c r="P73" s="119"/>
      <c r="Q73" s="83"/>
      <c r="R73" s="84"/>
      <c r="S73" s="84"/>
      <c r="T73" s="84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</row>
    <row r="74" spans="1:34" x14ac:dyDescent="0.2">
      <c r="A74" s="128"/>
      <c r="B74" s="131"/>
      <c r="C74" s="137"/>
      <c r="D74" s="137"/>
      <c r="E74" s="123"/>
      <c r="F74" s="123"/>
      <c r="G74" s="131"/>
      <c r="H74" s="131"/>
      <c r="I74" s="131"/>
      <c r="J74" s="123"/>
      <c r="K74" s="131"/>
      <c r="L74" s="144"/>
      <c r="M74" s="132"/>
      <c r="O74" s="119"/>
      <c r="P74" s="119"/>
      <c r="Q74" s="83"/>
      <c r="R74" s="84"/>
      <c r="S74" s="84"/>
      <c r="T74" s="84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</row>
    <row r="75" spans="1:34" x14ac:dyDescent="0.2">
      <c r="A75" s="145"/>
      <c r="C75" s="138"/>
      <c r="D75" s="138" t="s">
        <v>150</v>
      </c>
      <c r="E75" s="121"/>
      <c r="F75" s="121"/>
      <c r="G75" s="124">
        <f>0.1*G73</f>
        <v>112491.57799999998</v>
      </c>
      <c r="H75" s="472"/>
      <c r="I75" s="472"/>
      <c r="J75" s="121"/>
      <c r="K75" s="147"/>
      <c r="O75" s="119"/>
      <c r="P75" s="142"/>
      <c r="Q75" s="91"/>
      <c r="R75" s="149"/>
      <c r="S75" s="149"/>
      <c r="T75" s="149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</row>
    <row r="76" spans="1:34" ht="13.5" thickBot="1" x14ac:dyDescent="0.25">
      <c r="A76" s="145"/>
      <c r="C76" s="130"/>
      <c r="D76" s="130"/>
      <c r="E76" s="123"/>
      <c r="F76" s="123"/>
      <c r="G76" s="131"/>
      <c r="H76" s="131"/>
      <c r="I76" s="131"/>
      <c r="J76" s="123"/>
      <c r="K76" s="131"/>
    </row>
    <row r="77" spans="1:34" ht="13.5" thickBot="1" x14ac:dyDescent="0.25">
      <c r="A77" s="145"/>
      <c r="C77" s="122"/>
      <c r="D77" s="122" t="s">
        <v>151</v>
      </c>
      <c r="E77" s="150"/>
      <c r="F77" s="150"/>
      <c r="G77" s="151">
        <f>G73+G75</f>
        <v>1237407.3579999998</v>
      </c>
      <c r="H77" s="585"/>
      <c r="I77" s="585"/>
      <c r="J77" s="150"/>
      <c r="K77" s="152"/>
    </row>
    <row r="78" spans="1:34" x14ac:dyDescent="0.2">
      <c r="A78" s="145"/>
      <c r="C78" s="85"/>
      <c r="D78" s="85"/>
      <c r="E78" s="85"/>
      <c r="F78" s="85"/>
      <c r="G78" s="85"/>
      <c r="H78" s="85"/>
      <c r="I78" s="85"/>
      <c r="J78" s="85"/>
      <c r="K78" s="85"/>
    </row>
    <row r="79" spans="1:34" x14ac:dyDescent="0.2">
      <c r="A79" s="145"/>
      <c r="C79" s="85"/>
      <c r="D79" s="85"/>
      <c r="E79" s="85"/>
      <c r="F79" s="85"/>
      <c r="G79" s="85"/>
      <c r="H79" s="85"/>
      <c r="I79" s="85"/>
      <c r="J79" s="85"/>
      <c r="K79" s="85"/>
    </row>
    <row r="80" spans="1:34" s="146" customFormat="1" x14ac:dyDescent="0.2">
      <c r="A80" s="145"/>
      <c r="L80" s="148"/>
      <c r="M80" s="148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</row>
    <row r="81" spans="1:34" s="146" customFormat="1" x14ac:dyDescent="0.2">
      <c r="A81" s="145"/>
      <c r="L81" s="148"/>
      <c r="M81" s="148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</row>
    <row r="82" spans="1:34" s="146" customFormat="1" x14ac:dyDescent="0.2">
      <c r="A82" s="145"/>
      <c r="L82" s="148"/>
      <c r="M82" s="148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</row>
    <row r="83" spans="1:34" s="146" customFormat="1" x14ac:dyDescent="0.2">
      <c r="A83" s="145"/>
      <c r="L83" s="148"/>
      <c r="M83" s="148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</row>
    <row r="84" spans="1:34" s="146" customFormat="1" x14ac:dyDescent="0.2">
      <c r="A84" s="145"/>
      <c r="C84" s="83"/>
      <c r="D84" s="83"/>
      <c r="E84" s="83"/>
      <c r="L84" s="148"/>
      <c r="M84" s="148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</row>
    <row r="85" spans="1:34" s="146" customFormat="1" x14ac:dyDescent="0.2">
      <c r="A85" s="145"/>
      <c r="C85" s="83"/>
      <c r="D85" s="83"/>
      <c r="E85" s="83"/>
      <c r="L85" s="148"/>
      <c r="M85" s="148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</row>
    <row r="86" spans="1:34" s="146" customFormat="1" x14ac:dyDescent="0.2">
      <c r="A86" s="145"/>
      <c r="C86" s="83"/>
      <c r="D86" s="83"/>
      <c r="E86" s="83"/>
      <c r="L86" s="148"/>
      <c r="M86" s="148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</row>
    <row r="87" spans="1:34" s="146" customFormat="1" x14ac:dyDescent="0.2">
      <c r="A87" s="145"/>
      <c r="C87" s="83"/>
      <c r="D87" s="83"/>
      <c r="E87" s="83"/>
      <c r="L87" s="148"/>
      <c r="M87" s="148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5"/>
    </row>
    <row r="88" spans="1:34" s="146" customFormat="1" x14ac:dyDescent="0.2">
      <c r="A88" s="145"/>
      <c r="C88" s="83"/>
      <c r="D88" s="83"/>
      <c r="E88" s="83"/>
      <c r="L88" s="148"/>
      <c r="M88" s="148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</row>
    <row r="89" spans="1:34" s="146" customFormat="1" x14ac:dyDescent="0.2">
      <c r="A89" s="145"/>
      <c r="C89" s="83"/>
      <c r="D89" s="83"/>
      <c r="E89" s="83"/>
      <c r="L89" s="148"/>
      <c r="M89" s="148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</row>
    <row r="90" spans="1:34" s="146" customFormat="1" x14ac:dyDescent="0.2">
      <c r="A90" s="145"/>
      <c r="C90" s="83"/>
      <c r="D90" s="83"/>
      <c r="E90" s="83"/>
      <c r="L90" s="148"/>
      <c r="M90" s="148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</row>
    <row r="91" spans="1:34" s="146" customFormat="1" x14ac:dyDescent="0.2">
      <c r="A91" s="145"/>
      <c r="C91" s="83"/>
      <c r="D91" s="83"/>
      <c r="E91" s="83"/>
      <c r="L91" s="148"/>
      <c r="M91" s="148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</row>
    <row r="92" spans="1:34" s="146" customFormat="1" x14ac:dyDescent="0.2">
      <c r="A92" s="145"/>
      <c r="L92" s="148"/>
      <c r="M92" s="148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</row>
    <row r="93" spans="1:34" s="146" customFormat="1" x14ac:dyDescent="0.2">
      <c r="A93" s="145"/>
      <c r="G93" s="148"/>
      <c r="H93" s="148"/>
      <c r="I93" s="148"/>
      <c r="K93" s="148"/>
      <c r="L93" s="148"/>
      <c r="M93" s="148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</row>
    <row r="94" spans="1:34" s="146" customFormat="1" x14ac:dyDescent="0.2">
      <c r="A94" s="145"/>
      <c r="G94" s="148"/>
      <c r="H94" s="148"/>
      <c r="I94" s="148"/>
      <c r="K94" s="148"/>
      <c r="L94" s="148"/>
      <c r="M94" s="148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</row>
    <row r="95" spans="1:34" s="146" customFormat="1" x14ac:dyDescent="0.2">
      <c r="A95" s="145"/>
      <c r="G95" s="148"/>
      <c r="H95" s="148"/>
      <c r="I95" s="148"/>
      <c r="K95" s="148"/>
      <c r="L95" s="148"/>
      <c r="M95" s="148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</row>
    <row r="96" spans="1:34" s="146" customFormat="1" x14ac:dyDescent="0.2">
      <c r="A96" s="145"/>
      <c r="G96" s="148"/>
      <c r="H96" s="148"/>
      <c r="I96" s="148"/>
      <c r="K96" s="148"/>
      <c r="L96" s="148"/>
      <c r="M96" s="148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  <c r="AH96" s="85"/>
    </row>
    <row r="97" spans="1:34" s="146" customFormat="1" x14ac:dyDescent="0.2">
      <c r="A97" s="145"/>
      <c r="G97" s="148"/>
      <c r="H97" s="148"/>
      <c r="I97" s="148"/>
      <c r="K97" s="148"/>
      <c r="L97" s="148"/>
      <c r="M97" s="148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  <c r="AH97" s="85"/>
    </row>
    <row r="98" spans="1:34" s="146" customFormat="1" x14ac:dyDescent="0.2">
      <c r="A98" s="145"/>
      <c r="G98" s="148"/>
      <c r="H98" s="148"/>
      <c r="I98" s="148"/>
      <c r="K98" s="148"/>
      <c r="L98" s="148"/>
      <c r="M98" s="148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</row>
    <row r="99" spans="1:34" s="146" customFormat="1" x14ac:dyDescent="0.2">
      <c r="A99" s="145"/>
      <c r="G99" s="148"/>
      <c r="H99" s="148"/>
      <c r="I99" s="148"/>
      <c r="K99" s="148"/>
      <c r="L99" s="148"/>
      <c r="M99" s="148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</row>
    <row r="100" spans="1:34" s="146" customFormat="1" x14ac:dyDescent="0.2">
      <c r="A100" s="145"/>
      <c r="G100" s="148"/>
      <c r="H100" s="148"/>
      <c r="I100" s="148"/>
      <c r="K100" s="148"/>
      <c r="L100" s="148"/>
      <c r="M100" s="148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  <c r="AH100" s="85"/>
    </row>
    <row r="101" spans="1:34" s="146" customFormat="1" x14ac:dyDescent="0.2">
      <c r="A101" s="145"/>
      <c r="G101" s="148"/>
      <c r="H101" s="148"/>
      <c r="I101" s="148"/>
      <c r="K101" s="148"/>
      <c r="L101" s="148"/>
      <c r="M101" s="148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</row>
    <row r="102" spans="1:34" s="146" customFormat="1" x14ac:dyDescent="0.2">
      <c r="A102" s="145"/>
      <c r="G102" s="148"/>
      <c r="H102" s="148"/>
      <c r="I102" s="148"/>
      <c r="K102" s="148"/>
      <c r="L102" s="148"/>
      <c r="M102" s="148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</row>
    <row r="103" spans="1:34" s="146" customFormat="1" x14ac:dyDescent="0.2">
      <c r="A103" s="145"/>
      <c r="G103" s="148"/>
      <c r="H103" s="148"/>
      <c r="I103" s="148"/>
      <c r="K103" s="148"/>
      <c r="L103" s="148"/>
      <c r="M103" s="148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</row>
    <row r="104" spans="1:34" s="146" customFormat="1" x14ac:dyDescent="0.2">
      <c r="A104" s="145"/>
      <c r="G104" s="148"/>
      <c r="H104" s="148"/>
      <c r="I104" s="148"/>
      <c r="K104" s="148"/>
      <c r="L104" s="148"/>
      <c r="M104" s="148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</row>
    <row r="105" spans="1:34" s="146" customFormat="1" x14ac:dyDescent="0.2">
      <c r="A105" s="145"/>
      <c r="G105" s="148"/>
      <c r="H105" s="148"/>
      <c r="I105" s="148"/>
      <c r="K105" s="148"/>
      <c r="L105" s="148"/>
      <c r="M105" s="148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</row>
    <row r="106" spans="1:34" s="146" customFormat="1" x14ac:dyDescent="0.2">
      <c r="A106" s="145"/>
      <c r="G106" s="148"/>
      <c r="H106" s="148"/>
      <c r="I106" s="148"/>
      <c r="K106" s="148"/>
      <c r="L106" s="148"/>
      <c r="M106" s="148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</row>
    <row r="107" spans="1:34" s="146" customFormat="1" x14ac:dyDescent="0.2">
      <c r="A107" s="145"/>
      <c r="G107" s="148"/>
      <c r="H107" s="148"/>
      <c r="I107" s="148"/>
      <c r="K107" s="148"/>
      <c r="L107" s="148"/>
      <c r="M107" s="148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  <c r="AH107" s="85"/>
    </row>
    <row r="108" spans="1:34" s="146" customFormat="1" x14ac:dyDescent="0.2">
      <c r="A108" s="145"/>
      <c r="G108" s="148"/>
      <c r="H108" s="148"/>
      <c r="I108" s="148"/>
      <c r="K108" s="148"/>
      <c r="L108" s="148"/>
      <c r="M108" s="148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</row>
    <row r="109" spans="1:34" s="146" customFormat="1" x14ac:dyDescent="0.2">
      <c r="A109" s="145"/>
      <c r="G109" s="148"/>
      <c r="H109" s="148"/>
      <c r="I109" s="148"/>
      <c r="K109" s="148"/>
      <c r="L109" s="148"/>
      <c r="M109" s="148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</row>
    <row r="110" spans="1:34" s="146" customFormat="1" x14ac:dyDescent="0.2">
      <c r="A110" s="145"/>
      <c r="G110" s="148"/>
      <c r="H110" s="148"/>
      <c r="I110" s="148"/>
      <c r="K110" s="148"/>
      <c r="L110" s="148"/>
      <c r="M110" s="148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</row>
    <row r="111" spans="1:34" s="146" customFormat="1" x14ac:dyDescent="0.2">
      <c r="A111" s="145"/>
      <c r="G111" s="148"/>
      <c r="H111" s="148"/>
      <c r="I111" s="148"/>
      <c r="K111" s="148"/>
      <c r="L111" s="148"/>
      <c r="M111" s="148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</row>
    <row r="112" spans="1:34" s="146" customFormat="1" x14ac:dyDescent="0.2">
      <c r="A112" s="145"/>
      <c r="G112" s="148"/>
      <c r="H112" s="148"/>
      <c r="I112" s="148"/>
      <c r="K112" s="148"/>
      <c r="L112" s="148"/>
      <c r="M112" s="148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</row>
    <row r="113" spans="1:34" s="146" customFormat="1" x14ac:dyDescent="0.2">
      <c r="A113" s="145"/>
      <c r="G113" s="148"/>
      <c r="H113" s="148"/>
      <c r="I113" s="148"/>
      <c r="K113" s="148"/>
      <c r="L113" s="148"/>
      <c r="M113" s="148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</row>
    <row r="114" spans="1:34" s="146" customFormat="1" x14ac:dyDescent="0.2">
      <c r="A114" s="145"/>
      <c r="G114" s="148"/>
      <c r="H114" s="148"/>
      <c r="I114" s="148"/>
      <c r="K114" s="148"/>
      <c r="L114" s="148"/>
      <c r="M114" s="148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  <c r="AF114" s="85"/>
      <c r="AG114" s="85"/>
      <c r="AH114" s="85"/>
    </row>
    <row r="115" spans="1:34" s="146" customFormat="1" x14ac:dyDescent="0.2">
      <c r="A115" s="145"/>
      <c r="G115" s="148"/>
      <c r="H115" s="148"/>
      <c r="I115" s="148"/>
      <c r="K115" s="148"/>
      <c r="L115" s="148"/>
      <c r="M115" s="148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</row>
    <row r="116" spans="1:34" s="146" customFormat="1" x14ac:dyDescent="0.2">
      <c r="A116" s="145"/>
      <c r="G116" s="148"/>
      <c r="H116" s="148"/>
      <c r="I116" s="148"/>
      <c r="K116" s="148"/>
      <c r="L116" s="148"/>
      <c r="M116" s="148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85"/>
      <c r="AG116" s="85"/>
      <c r="AH116" s="85"/>
    </row>
    <row r="117" spans="1:34" s="146" customFormat="1" x14ac:dyDescent="0.2">
      <c r="A117" s="145"/>
      <c r="G117" s="148"/>
      <c r="H117" s="148"/>
      <c r="I117" s="148"/>
      <c r="K117" s="148"/>
      <c r="L117" s="148"/>
      <c r="M117" s="148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85"/>
      <c r="AG117" s="85"/>
      <c r="AH117" s="85"/>
    </row>
    <row r="118" spans="1:34" s="146" customFormat="1" x14ac:dyDescent="0.2">
      <c r="A118" s="145"/>
      <c r="G118" s="148"/>
      <c r="H118" s="148"/>
      <c r="I118" s="148"/>
      <c r="K118" s="148"/>
      <c r="L118" s="148"/>
      <c r="M118" s="148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85"/>
      <c r="AH118" s="85"/>
    </row>
    <row r="119" spans="1:34" s="146" customFormat="1" x14ac:dyDescent="0.2">
      <c r="A119" s="145"/>
      <c r="G119" s="148"/>
      <c r="H119" s="148"/>
      <c r="I119" s="148"/>
      <c r="K119" s="148"/>
      <c r="L119" s="148"/>
      <c r="M119" s="148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  <c r="AF119" s="85"/>
      <c r="AG119" s="85"/>
      <c r="AH119" s="85"/>
    </row>
    <row r="120" spans="1:34" s="146" customFormat="1" x14ac:dyDescent="0.2">
      <c r="A120" s="145"/>
      <c r="G120" s="148"/>
      <c r="H120" s="148"/>
      <c r="I120" s="148"/>
      <c r="K120" s="148"/>
      <c r="L120" s="148"/>
      <c r="M120" s="148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</row>
    <row r="121" spans="1:34" s="146" customFormat="1" x14ac:dyDescent="0.2">
      <c r="A121" s="145"/>
      <c r="G121" s="148"/>
      <c r="H121" s="148"/>
      <c r="I121" s="148"/>
      <c r="K121" s="148"/>
      <c r="L121" s="148"/>
      <c r="M121" s="148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</row>
    <row r="122" spans="1:34" s="146" customFormat="1" x14ac:dyDescent="0.2">
      <c r="A122" s="145"/>
      <c r="G122" s="148"/>
      <c r="H122" s="148"/>
      <c r="I122" s="148"/>
      <c r="K122" s="148"/>
      <c r="L122" s="148"/>
      <c r="M122" s="148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  <c r="AF122" s="85"/>
      <c r="AG122" s="85"/>
      <c r="AH122" s="85"/>
    </row>
    <row r="123" spans="1:34" s="146" customFormat="1" x14ac:dyDescent="0.2">
      <c r="A123" s="145"/>
      <c r="G123" s="148"/>
      <c r="H123" s="148"/>
      <c r="I123" s="148"/>
      <c r="K123" s="148"/>
      <c r="L123" s="148"/>
      <c r="M123" s="148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  <c r="AC123" s="85"/>
      <c r="AD123" s="85"/>
      <c r="AE123" s="85"/>
      <c r="AF123" s="85"/>
      <c r="AG123" s="85"/>
      <c r="AH123" s="85"/>
    </row>
    <row r="124" spans="1:34" s="146" customFormat="1" x14ac:dyDescent="0.2">
      <c r="A124" s="145"/>
      <c r="G124" s="148"/>
      <c r="H124" s="148"/>
      <c r="I124" s="148"/>
      <c r="K124" s="148"/>
      <c r="L124" s="148"/>
      <c r="M124" s="148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  <c r="AC124" s="85"/>
      <c r="AD124" s="85"/>
      <c r="AE124" s="85"/>
      <c r="AF124" s="85"/>
      <c r="AG124" s="85"/>
      <c r="AH124" s="85"/>
    </row>
    <row r="125" spans="1:34" s="146" customFormat="1" x14ac:dyDescent="0.2">
      <c r="A125" s="145"/>
      <c r="G125" s="148"/>
      <c r="H125" s="148"/>
      <c r="I125" s="148"/>
      <c r="K125" s="148"/>
      <c r="L125" s="148"/>
      <c r="M125" s="148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</row>
    <row r="126" spans="1:34" s="146" customFormat="1" x14ac:dyDescent="0.2">
      <c r="A126" s="145"/>
      <c r="G126" s="148"/>
      <c r="H126" s="148"/>
      <c r="I126" s="148"/>
      <c r="K126" s="148"/>
      <c r="L126" s="148"/>
      <c r="M126" s="148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  <c r="AF126" s="85"/>
      <c r="AG126" s="85"/>
      <c r="AH126" s="85"/>
    </row>
    <row r="127" spans="1:34" s="146" customFormat="1" x14ac:dyDescent="0.2">
      <c r="A127" s="145"/>
      <c r="G127" s="148"/>
      <c r="H127" s="148"/>
      <c r="I127" s="148"/>
      <c r="K127" s="148"/>
      <c r="L127" s="148"/>
      <c r="M127" s="148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  <c r="AH127" s="85"/>
    </row>
    <row r="128" spans="1:34" s="146" customFormat="1" x14ac:dyDescent="0.2">
      <c r="A128" s="145"/>
      <c r="G128" s="148"/>
      <c r="H128" s="148"/>
      <c r="I128" s="148"/>
      <c r="K128" s="148"/>
      <c r="L128" s="148"/>
      <c r="M128" s="148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</row>
    <row r="129" spans="1:34" s="146" customFormat="1" x14ac:dyDescent="0.2">
      <c r="A129" s="145"/>
      <c r="G129" s="148"/>
      <c r="H129" s="148"/>
      <c r="I129" s="148"/>
      <c r="K129" s="148"/>
      <c r="L129" s="148"/>
      <c r="M129" s="148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  <c r="AC129" s="85"/>
      <c r="AD129" s="85"/>
      <c r="AE129" s="85"/>
      <c r="AF129" s="85"/>
      <c r="AG129" s="85"/>
      <c r="AH129" s="85"/>
    </row>
    <row r="130" spans="1:34" s="146" customFormat="1" x14ac:dyDescent="0.2">
      <c r="A130" s="145"/>
      <c r="G130" s="148"/>
      <c r="H130" s="148"/>
      <c r="I130" s="148"/>
      <c r="K130" s="148"/>
      <c r="L130" s="148"/>
      <c r="M130" s="148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85"/>
      <c r="AH130" s="85"/>
    </row>
    <row r="131" spans="1:34" s="146" customFormat="1" x14ac:dyDescent="0.2">
      <c r="A131" s="145"/>
      <c r="G131" s="148"/>
      <c r="H131" s="148"/>
      <c r="I131" s="148"/>
      <c r="K131" s="148"/>
      <c r="L131" s="148"/>
      <c r="M131" s="148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  <c r="AF131" s="85"/>
      <c r="AG131" s="85"/>
      <c r="AH131" s="85"/>
    </row>
    <row r="132" spans="1:34" s="146" customFormat="1" x14ac:dyDescent="0.2">
      <c r="A132" s="145"/>
      <c r="G132" s="148"/>
      <c r="H132" s="148"/>
      <c r="I132" s="148"/>
      <c r="K132" s="148"/>
      <c r="L132" s="148"/>
      <c r="M132" s="148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</row>
    <row r="133" spans="1:34" s="146" customFormat="1" x14ac:dyDescent="0.2">
      <c r="A133" s="145"/>
      <c r="G133" s="148"/>
      <c r="H133" s="148"/>
      <c r="I133" s="148"/>
      <c r="K133" s="148"/>
      <c r="L133" s="148"/>
      <c r="M133" s="148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  <c r="AC133" s="85"/>
      <c r="AD133" s="85"/>
      <c r="AE133" s="85"/>
      <c r="AF133" s="85"/>
      <c r="AG133" s="85"/>
      <c r="AH133" s="85"/>
    </row>
    <row r="134" spans="1:34" s="146" customFormat="1" x14ac:dyDescent="0.2">
      <c r="A134" s="145"/>
      <c r="G134" s="148"/>
      <c r="H134" s="148"/>
      <c r="I134" s="148"/>
      <c r="K134" s="148"/>
      <c r="L134" s="148"/>
      <c r="M134" s="148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</row>
    <row r="135" spans="1:34" s="146" customFormat="1" x14ac:dyDescent="0.2">
      <c r="A135" s="145"/>
      <c r="G135" s="148"/>
      <c r="H135" s="148"/>
      <c r="I135" s="148"/>
      <c r="K135" s="148"/>
      <c r="L135" s="148"/>
      <c r="M135" s="148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</row>
    <row r="136" spans="1:34" s="146" customFormat="1" x14ac:dyDescent="0.2">
      <c r="A136" s="145"/>
      <c r="G136" s="148"/>
      <c r="H136" s="148"/>
      <c r="I136" s="148"/>
      <c r="K136" s="148"/>
      <c r="L136" s="148"/>
      <c r="M136" s="148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</row>
    <row r="137" spans="1:34" s="146" customFormat="1" x14ac:dyDescent="0.2">
      <c r="A137" s="145"/>
      <c r="G137" s="148"/>
      <c r="H137" s="148"/>
      <c r="I137" s="148"/>
      <c r="K137" s="148"/>
      <c r="L137" s="148"/>
      <c r="M137" s="148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</row>
    <row r="138" spans="1:34" s="146" customFormat="1" x14ac:dyDescent="0.2">
      <c r="A138" s="145"/>
      <c r="G138" s="148"/>
      <c r="H138" s="148"/>
      <c r="I138" s="148"/>
      <c r="K138" s="148"/>
      <c r="L138" s="148"/>
      <c r="M138" s="148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</row>
    <row r="139" spans="1:34" s="146" customFormat="1" x14ac:dyDescent="0.2">
      <c r="A139" s="145"/>
      <c r="G139" s="148"/>
      <c r="H139" s="148"/>
      <c r="I139" s="148"/>
      <c r="K139" s="148"/>
      <c r="L139" s="148"/>
      <c r="M139" s="148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  <c r="AF139" s="85"/>
      <c r="AG139" s="85"/>
      <c r="AH139" s="85"/>
    </row>
    <row r="140" spans="1:34" s="146" customFormat="1" x14ac:dyDescent="0.2">
      <c r="A140" s="145"/>
      <c r="G140" s="148"/>
      <c r="H140" s="148"/>
      <c r="I140" s="148"/>
      <c r="K140" s="148"/>
      <c r="L140" s="148"/>
      <c r="M140" s="148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</row>
    <row r="141" spans="1:34" s="146" customFormat="1" x14ac:dyDescent="0.2">
      <c r="A141" s="145"/>
      <c r="G141" s="148"/>
      <c r="H141" s="148"/>
      <c r="I141" s="148"/>
      <c r="K141" s="148"/>
      <c r="L141" s="148"/>
      <c r="M141" s="148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  <c r="AF141" s="85"/>
      <c r="AG141" s="85"/>
      <c r="AH141" s="85"/>
    </row>
    <row r="142" spans="1:34" s="146" customFormat="1" x14ac:dyDescent="0.2">
      <c r="A142" s="145"/>
      <c r="G142" s="148"/>
      <c r="H142" s="148"/>
      <c r="I142" s="148"/>
      <c r="K142" s="148"/>
      <c r="L142" s="148"/>
      <c r="M142" s="148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  <c r="AE142" s="85"/>
      <c r="AF142" s="85"/>
      <c r="AG142" s="85"/>
      <c r="AH142" s="85"/>
    </row>
    <row r="143" spans="1:34" s="146" customFormat="1" x14ac:dyDescent="0.2">
      <c r="A143" s="145"/>
      <c r="G143" s="148"/>
      <c r="H143" s="148"/>
      <c r="I143" s="148"/>
      <c r="K143" s="148"/>
      <c r="L143" s="148"/>
      <c r="M143" s="148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  <c r="AE143" s="85"/>
      <c r="AF143" s="85"/>
      <c r="AG143" s="85"/>
      <c r="AH143" s="85"/>
    </row>
    <row r="144" spans="1:34" s="146" customFormat="1" x14ac:dyDescent="0.2">
      <c r="A144" s="145"/>
      <c r="G144" s="148"/>
      <c r="H144" s="148"/>
      <c r="I144" s="148"/>
      <c r="K144" s="148"/>
      <c r="L144" s="148"/>
      <c r="M144" s="148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</row>
    <row r="145" spans="1:34" s="146" customFormat="1" x14ac:dyDescent="0.2">
      <c r="A145" s="145"/>
      <c r="G145" s="148"/>
      <c r="H145" s="148"/>
      <c r="I145" s="148"/>
      <c r="K145" s="148"/>
      <c r="L145" s="148"/>
      <c r="M145" s="148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</row>
    <row r="146" spans="1:34" s="146" customFormat="1" x14ac:dyDescent="0.2">
      <c r="A146" s="145"/>
      <c r="G146" s="148"/>
      <c r="H146" s="148"/>
      <c r="I146" s="148"/>
      <c r="K146" s="148"/>
      <c r="L146" s="148"/>
      <c r="M146" s="148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  <c r="AF146" s="85"/>
      <c r="AG146" s="85"/>
      <c r="AH146" s="85"/>
    </row>
    <row r="147" spans="1:34" s="146" customFormat="1" x14ac:dyDescent="0.2">
      <c r="A147" s="145"/>
      <c r="G147" s="148"/>
      <c r="H147" s="148"/>
      <c r="I147" s="148"/>
      <c r="K147" s="148"/>
      <c r="L147" s="148"/>
      <c r="M147" s="148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  <c r="AD147" s="85"/>
      <c r="AE147" s="85"/>
      <c r="AF147" s="85"/>
      <c r="AG147" s="85"/>
      <c r="AH147" s="85"/>
    </row>
    <row r="148" spans="1:34" s="146" customFormat="1" x14ac:dyDescent="0.2">
      <c r="A148" s="145"/>
      <c r="G148" s="148"/>
      <c r="H148" s="148"/>
      <c r="I148" s="148"/>
      <c r="K148" s="148"/>
      <c r="L148" s="148"/>
      <c r="M148" s="148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  <c r="AD148" s="85"/>
      <c r="AE148" s="85"/>
      <c r="AF148" s="85"/>
      <c r="AG148" s="85"/>
      <c r="AH148" s="85"/>
    </row>
    <row r="149" spans="1:34" s="146" customFormat="1" x14ac:dyDescent="0.2">
      <c r="A149" s="145"/>
      <c r="G149" s="148"/>
      <c r="H149" s="148"/>
      <c r="I149" s="148"/>
      <c r="K149" s="148"/>
      <c r="L149" s="148"/>
      <c r="M149" s="148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  <c r="AD149" s="85"/>
      <c r="AE149" s="85"/>
      <c r="AF149" s="85"/>
      <c r="AG149" s="85"/>
      <c r="AH149" s="85"/>
    </row>
    <row r="150" spans="1:34" s="146" customFormat="1" x14ac:dyDescent="0.2">
      <c r="A150" s="145"/>
      <c r="G150" s="148"/>
      <c r="H150" s="148"/>
      <c r="I150" s="148"/>
      <c r="K150" s="148"/>
      <c r="L150" s="148"/>
      <c r="M150" s="148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  <c r="AF150" s="85"/>
      <c r="AG150" s="85"/>
      <c r="AH150" s="85"/>
    </row>
    <row r="151" spans="1:34" s="146" customFormat="1" x14ac:dyDescent="0.2">
      <c r="A151" s="145"/>
      <c r="G151" s="148"/>
      <c r="H151" s="148"/>
      <c r="I151" s="148"/>
      <c r="K151" s="148"/>
      <c r="L151" s="148"/>
      <c r="M151" s="148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  <c r="AF151" s="85"/>
      <c r="AG151" s="85"/>
      <c r="AH151" s="85"/>
    </row>
    <row r="152" spans="1:34" s="146" customFormat="1" x14ac:dyDescent="0.2">
      <c r="A152" s="145"/>
      <c r="G152" s="148"/>
      <c r="H152" s="148"/>
      <c r="I152" s="148"/>
      <c r="K152" s="148"/>
      <c r="L152" s="148"/>
      <c r="M152" s="148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</row>
    <row r="153" spans="1:34" s="146" customFormat="1" x14ac:dyDescent="0.2">
      <c r="A153" s="145"/>
      <c r="G153" s="148"/>
      <c r="H153" s="148"/>
      <c r="I153" s="148"/>
      <c r="K153" s="148"/>
      <c r="L153" s="148"/>
      <c r="M153" s="148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85"/>
      <c r="AE153" s="85"/>
      <c r="AF153" s="85"/>
      <c r="AG153" s="85"/>
      <c r="AH153" s="85"/>
    </row>
    <row r="154" spans="1:34" s="146" customFormat="1" x14ac:dyDescent="0.2">
      <c r="A154" s="145"/>
      <c r="G154" s="148"/>
      <c r="H154" s="148"/>
      <c r="I154" s="148"/>
      <c r="K154" s="148"/>
      <c r="L154" s="148"/>
      <c r="M154" s="148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  <c r="AD154" s="85"/>
      <c r="AE154" s="85"/>
      <c r="AF154" s="85"/>
      <c r="AG154" s="85"/>
      <c r="AH154" s="85"/>
    </row>
    <row r="155" spans="1:34" s="146" customFormat="1" x14ac:dyDescent="0.2">
      <c r="A155" s="145"/>
      <c r="G155" s="148"/>
      <c r="H155" s="148"/>
      <c r="I155" s="148"/>
      <c r="K155" s="148"/>
      <c r="L155" s="148"/>
      <c r="M155" s="148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  <c r="AE155" s="85"/>
      <c r="AF155" s="85"/>
      <c r="AG155" s="85"/>
      <c r="AH155" s="85"/>
    </row>
    <row r="156" spans="1:34" s="146" customFormat="1" x14ac:dyDescent="0.2">
      <c r="A156" s="145"/>
      <c r="G156" s="148"/>
      <c r="H156" s="148"/>
      <c r="I156" s="148"/>
      <c r="K156" s="148"/>
      <c r="L156" s="148"/>
      <c r="M156" s="148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  <c r="AD156" s="85"/>
      <c r="AE156" s="85"/>
      <c r="AF156" s="85"/>
      <c r="AG156" s="85"/>
      <c r="AH156" s="85"/>
    </row>
    <row r="157" spans="1:34" s="146" customFormat="1" x14ac:dyDescent="0.2">
      <c r="A157" s="145"/>
      <c r="G157" s="148"/>
      <c r="H157" s="148"/>
      <c r="I157" s="148"/>
      <c r="K157" s="148"/>
      <c r="L157" s="148"/>
      <c r="M157" s="148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  <c r="AD157" s="85"/>
      <c r="AE157" s="85"/>
      <c r="AF157" s="85"/>
      <c r="AG157" s="85"/>
      <c r="AH157" s="85"/>
    </row>
    <row r="158" spans="1:34" s="146" customFormat="1" x14ac:dyDescent="0.2">
      <c r="A158" s="145"/>
      <c r="G158" s="148"/>
      <c r="H158" s="148"/>
      <c r="I158" s="148"/>
      <c r="K158" s="148"/>
      <c r="L158" s="148"/>
      <c r="M158" s="148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  <c r="AD158" s="85"/>
      <c r="AE158" s="85"/>
      <c r="AF158" s="85"/>
      <c r="AG158" s="85"/>
      <c r="AH158" s="85"/>
    </row>
    <row r="159" spans="1:34" s="146" customFormat="1" x14ac:dyDescent="0.2">
      <c r="A159" s="145"/>
      <c r="G159" s="148"/>
      <c r="H159" s="148"/>
      <c r="I159" s="148"/>
      <c r="K159" s="148"/>
      <c r="L159" s="148"/>
      <c r="M159" s="148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  <c r="AD159" s="85"/>
      <c r="AE159" s="85"/>
      <c r="AF159" s="85"/>
      <c r="AG159" s="85"/>
      <c r="AH159" s="85"/>
    </row>
    <row r="160" spans="1:34" s="146" customFormat="1" x14ac:dyDescent="0.2">
      <c r="A160" s="145"/>
      <c r="G160" s="148"/>
      <c r="H160" s="148"/>
      <c r="I160" s="148"/>
      <c r="K160" s="148"/>
      <c r="L160" s="148"/>
      <c r="M160" s="148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  <c r="AD160" s="85"/>
      <c r="AE160" s="85"/>
      <c r="AF160" s="85"/>
      <c r="AG160" s="85"/>
      <c r="AH160" s="85"/>
    </row>
    <row r="161" spans="1:34" s="146" customFormat="1" x14ac:dyDescent="0.2">
      <c r="A161" s="145"/>
      <c r="G161" s="148"/>
      <c r="H161" s="148"/>
      <c r="I161" s="148"/>
      <c r="K161" s="148"/>
      <c r="L161" s="148"/>
      <c r="M161" s="148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  <c r="AD161" s="85"/>
      <c r="AE161" s="85"/>
      <c r="AF161" s="85"/>
      <c r="AG161" s="85"/>
      <c r="AH161" s="85"/>
    </row>
    <row r="162" spans="1:34" s="146" customFormat="1" x14ac:dyDescent="0.2">
      <c r="A162" s="145"/>
      <c r="G162" s="148"/>
      <c r="H162" s="148"/>
      <c r="I162" s="148"/>
      <c r="K162" s="148"/>
      <c r="L162" s="148"/>
      <c r="M162" s="148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  <c r="AD162" s="85"/>
      <c r="AE162" s="85"/>
      <c r="AF162" s="85"/>
      <c r="AG162" s="85"/>
      <c r="AH162" s="85"/>
    </row>
    <row r="163" spans="1:34" s="146" customFormat="1" x14ac:dyDescent="0.2">
      <c r="A163" s="145"/>
      <c r="G163" s="148"/>
      <c r="H163" s="148"/>
      <c r="I163" s="148"/>
      <c r="K163" s="148"/>
      <c r="L163" s="148"/>
      <c r="M163" s="148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  <c r="AD163" s="85"/>
      <c r="AE163" s="85"/>
      <c r="AF163" s="85"/>
      <c r="AG163" s="85"/>
      <c r="AH163" s="85"/>
    </row>
    <row r="164" spans="1:34" s="146" customFormat="1" x14ac:dyDescent="0.2">
      <c r="A164" s="145"/>
      <c r="G164" s="148"/>
      <c r="H164" s="148"/>
      <c r="I164" s="148"/>
      <c r="K164" s="148"/>
      <c r="L164" s="148"/>
      <c r="M164" s="148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  <c r="AC164" s="85"/>
      <c r="AD164" s="85"/>
      <c r="AE164" s="85"/>
      <c r="AF164" s="85"/>
      <c r="AG164" s="85"/>
      <c r="AH164" s="85"/>
    </row>
    <row r="165" spans="1:34" s="146" customFormat="1" x14ac:dyDescent="0.2">
      <c r="A165" s="145"/>
      <c r="G165" s="148"/>
      <c r="H165" s="148"/>
      <c r="I165" s="148"/>
      <c r="K165" s="148"/>
      <c r="L165" s="148"/>
      <c r="M165" s="148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  <c r="AC165" s="85"/>
      <c r="AD165" s="85"/>
      <c r="AE165" s="85"/>
      <c r="AF165" s="85"/>
      <c r="AG165" s="85"/>
      <c r="AH165" s="85"/>
    </row>
    <row r="166" spans="1:34" s="146" customFormat="1" x14ac:dyDescent="0.2">
      <c r="A166" s="145"/>
      <c r="G166" s="148"/>
      <c r="H166" s="148"/>
      <c r="I166" s="148"/>
      <c r="K166" s="148"/>
      <c r="L166" s="148"/>
      <c r="M166" s="148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  <c r="AC166" s="85"/>
      <c r="AD166" s="85"/>
      <c r="AE166" s="85"/>
      <c r="AF166" s="85"/>
      <c r="AG166" s="85"/>
      <c r="AH166" s="85"/>
    </row>
    <row r="167" spans="1:34" s="146" customFormat="1" x14ac:dyDescent="0.2">
      <c r="A167" s="145"/>
      <c r="G167" s="148"/>
      <c r="H167" s="148"/>
      <c r="I167" s="148"/>
      <c r="K167" s="148"/>
      <c r="L167" s="148"/>
      <c r="M167" s="148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  <c r="AC167" s="85"/>
      <c r="AD167" s="85"/>
      <c r="AE167" s="85"/>
      <c r="AF167" s="85"/>
      <c r="AG167" s="85"/>
      <c r="AH167" s="85"/>
    </row>
    <row r="168" spans="1:34" s="146" customFormat="1" x14ac:dyDescent="0.2">
      <c r="A168" s="145"/>
      <c r="G168" s="148"/>
      <c r="H168" s="148"/>
      <c r="I168" s="148"/>
      <c r="K168" s="148"/>
      <c r="L168" s="148"/>
      <c r="M168" s="148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  <c r="AD168" s="85"/>
      <c r="AE168" s="85"/>
      <c r="AF168" s="85"/>
      <c r="AG168" s="85"/>
      <c r="AH168" s="85"/>
    </row>
    <row r="169" spans="1:34" s="146" customFormat="1" x14ac:dyDescent="0.2">
      <c r="A169" s="145"/>
      <c r="G169" s="148"/>
      <c r="H169" s="148"/>
      <c r="I169" s="148"/>
      <c r="K169" s="148"/>
      <c r="L169" s="148"/>
      <c r="M169" s="148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  <c r="AD169" s="85"/>
      <c r="AE169" s="85"/>
      <c r="AF169" s="85"/>
      <c r="AG169" s="85"/>
      <c r="AH169" s="85"/>
    </row>
    <row r="170" spans="1:34" s="146" customFormat="1" x14ac:dyDescent="0.2">
      <c r="A170" s="145"/>
      <c r="G170" s="148"/>
      <c r="H170" s="148"/>
      <c r="I170" s="148"/>
      <c r="K170" s="148"/>
      <c r="L170" s="148"/>
      <c r="M170" s="148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  <c r="AD170" s="85"/>
      <c r="AE170" s="85"/>
      <c r="AF170" s="85"/>
      <c r="AG170" s="85"/>
      <c r="AH170" s="85"/>
    </row>
    <row r="171" spans="1:34" s="146" customFormat="1" x14ac:dyDescent="0.2">
      <c r="A171" s="145"/>
      <c r="G171" s="148"/>
      <c r="H171" s="148"/>
      <c r="I171" s="148"/>
      <c r="K171" s="148"/>
      <c r="L171" s="148"/>
      <c r="M171" s="148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  <c r="AD171" s="85"/>
      <c r="AE171" s="85"/>
      <c r="AF171" s="85"/>
      <c r="AG171" s="85"/>
      <c r="AH171" s="85"/>
    </row>
    <row r="172" spans="1:34" s="146" customFormat="1" x14ac:dyDescent="0.2">
      <c r="A172" s="145"/>
      <c r="G172" s="148"/>
      <c r="H172" s="148"/>
      <c r="I172" s="148"/>
      <c r="K172" s="148"/>
      <c r="L172" s="148"/>
      <c r="M172" s="148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  <c r="AD172" s="85"/>
      <c r="AE172" s="85"/>
      <c r="AF172" s="85"/>
      <c r="AG172" s="85"/>
      <c r="AH172" s="85"/>
    </row>
    <row r="173" spans="1:34" s="146" customFormat="1" x14ac:dyDescent="0.2">
      <c r="A173" s="145"/>
      <c r="G173" s="148"/>
      <c r="H173" s="148"/>
      <c r="I173" s="148"/>
      <c r="K173" s="148"/>
      <c r="L173" s="148"/>
      <c r="M173" s="148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  <c r="AD173" s="85"/>
      <c r="AE173" s="85"/>
      <c r="AF173" s="85"/>
      <c r="AG173" s="85"/>
      <c r="AH173" s="85"/>
    </row>
    <row r="174" spans="1:34" s="146" customFormat="1" x14ac:dyDescent="0.2">
      <c r="A174" s="145"/>
      <c r="G174" s="148"/>
      <c r="H174" s="148"/>
      <c r="I174" s="148"/>
      <c r="K174" s="148"/>
      <c r="L174" s="148"/>
      <c r="M174" s="148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  <c r="AD174" s="85"/>
      <c r="AE174" s="85"/>
      <c r="AF174" s="85"/>
      <c r="AG174" s="85"/>
      <c r="AH174" s="85"/>
    </row>
    <row r="175" spans="1:34" s="146" customFormat="1" x14ac:dyDescent="0.2">
      <c r="A175" s="145"/>
      <c r="G175" s="148"/>
      <c r="H175" s="148"/>
      <c r="I175" s="148"/>
      <c r="K175" s="148"/>
      <c r="L175" s="148"/>
      <c r="M175" s="148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  <c r="AD175" s="85"/>
      <c r="AE175" s="85"/>
      <c r="AF175" s="85"/>
      <c r="AG175" s="85"/>
      <c r="AH175" s="85"/>
    </row>
    <row r="176" spans="1:34" s="146" customFormat="1" x14ac:dyDescent="0.2">
      <c r="A176" s="145"/>
      <c r="G176" s="148"/>
      <c r="H176" s="148"/>
      <c r="I176" s="148"/>
      <c r="K176" s="148"/>
      <c r="L176" s="148"/>
      <c r="M176" s="148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  <c r="AD176" s="85"/>
      <c r="AE176" s="85"/>
      <c r="AF176" s="85"/>
      <c r="AG176" s="85"/>
      <c r="AH176" s="85"/>
    </row>
    <row r="177" spans="1:34" s="146" customFormat="1" x14ac:dyDescent="0.2">
      <c r="A177" s="145"/>
      <c r="G177" s="148"/>
      <c r="H177" s="148"/>
      <c r="I177" s="148"/>
      <c r="K177" s="148"/>
      <c r="L177" s="148"/>
      <c r="M177" s="148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  <c r="AH177" s="85"/>
    </row>
    <row r="178" spans="1:34" s="146" customFormat="1" x14ac:dyDescent="0.2">
      <c r="A178" s="145"/>
      <c r="G178" s="148"/>
      <c r="H178" s="148"/>
      <c r="I178" s="148"/>
      <c r="K178" s="148"/>
      <c r="L178" s="148"/>
      <c r="M178" s="148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  <c r="AD178" s="85"/>
      <c r="AE178" s="85"/>
      <c r="AF178" s="85"/>
      <c r="AG178" s="85"/>
      <c r="AH178" s="85"/>
    </row>
    <row r="179" spans="1:34" s="146" customFormat="1" x14ac:dyDescent="0.2">
      <c r="A179" s="145"/>
      <c r="G179" s="148"/>
      <c r="H179" s="148"/>
      <c r="I179" s="148"/>
      <c r="K179" s="148"/>
      <c r="L179" s="148"/>
      <c r="M179" s="148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  <c r="AD179" s="85"/>
      <c r="AE179" s="85"/>
      <c r="AF179" s="85"/>
      <c r="AG179" s="85"/>
      <c r="AH179" s="85"/>
    </row>
    <row r="180" spans="1:34" s="146" customFormat="1" x14ac:dyDescent="0.2">
      <c r="A180" s="145"/>
      <c r="G180" s="148"/>
      <c r="H180" s="148"/>
      <c r="I180" s="148"/>
      <c r="K180" s="148"/>
      <c r="L180" s="148"/>
      <c r="M180" s="148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  <c r="AD180" s="85"/>
      <c r="AE180" s="85"/>
      <c r="AF180" s="85"/>
      <c r="AG180" s="85"/>
      <c r="AH180" s="85"/>
    </row>
    <row r="181" spans="1:34" s="146" customFormat="1" x14ac:dyDescent="0.2">
      <c r="A181" s="145"/>
      <c r="G181" s="148"/>
      <c r="H181" s="148"/>
      <c r="I181" s="148"/>
      <c r="K181" s="148"/>
      <c r="L181" s="148"/>
      <c r="M181" s="148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  <c r="AD181" s="85"/>
      <c r="AE181" s="85"/>
      <c r="AF181" s="85"/>
      <c r="AG181" s="85"/>
      <c r="AH181" s="85"/>
    </row>
    <row r="182" spans="1:34" s="146" customFormat="1" x14ac:dyDescent="0.2">
      <c r="A182" s="145"/>
      <c r="G182" s="148"/>
      <c r="H182" s="148"/>
      <c r="I182" s="148"/>
      <c r="K182" s="148"/>
      <c r="L182" s="148"/>
      <c r="M182" s="148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  <c r="AD182" s="85"/>
      <c r="AE182" s="85"/>
      <c r="AF182" s="85"/>
      <c r="AG182" s="85"/>
      <c r="AH182" s="85"/>
    </row>
    <row r="183" spans="1:34" s="146" customFormat="1" x14ac:dyDescent="0.2">
      <c r="A183" s="145"/>
      <c r="G183" s="148"/>
      <c r="H183" s="148"/>
      <c r="I183" s="148"/>
      <c r="K183" s="148"/>
      <c r="L183" s="148"/>
      <c r="M183" s="148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  <c r="AD183" s="85"/>
      <c r="AE183" s="85"/>
      <c r="AF183" s="85"/>
      <c r="AG183" s="85"/>
      <c r="AH183" s="85"/>
    </row>
    <row r="184" spans="1:34" s="146" customFormat="1" x14ac:dyDescent="0.2">
      <c r="A184" s="145"/>
      <c r="G184" s="148"/>
      <c r="H184" s="148"/>
      <c r="I184" s="148"/>
      <c r="K184" s="148"/>
      <c r="L184" s="148"/>
      <c r="M184" s="148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  <c r="AD184" s="85"/>
      <c r="AE184" s="85"/>
      <c r="AF184" s="85"/>
      <c r="AG184" s="85"/>
      <c r="AH184" s="85"/>
    </row>
    <row r="185" spans="1:34" s="146" customFormat="1" x14ac:dyDescent="0.2">
      <c r="A185" s="145"/>
      <c r="G185" s="148"/>
      <c r="H185" s="148"/>
      <c r="I185" s="148"/>
      <c r="K185" s="148"/>
      <c r="L185" s="148"/>
      <c r="M185" s="148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  <c r="AD185" s="85"/>
      <c r="AE185" s="85"/>
      <c r="AF185" s="85"/>
      <c r="AG185" s="85"/>
      <c r="AH185" s="85"/>
    </row>
    <row r="186" spans="1:34" s="146" customFormat="1" x14ac:dyDescent="0.2">
      <c r="A186" s="145"/>
      <c r="G186" s="148"/>
      <c r="H186" s="148"/>
      <c r="I186" s="148"/>
      <c r="K186" s="148"/>
      <c r="L186" s="148"/>
      <c r="M186" s="148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  <c r="AD186" s="85"/>
      <c r="AE186" s="85"/>
      <c r="AF186" s="85"/>
      <c r="AG186" s="85"/>
      <c r="AH186" s="85"/>
    </row>
    <row r="187" spans="1:34" s="146" customFormat="1" x14ac:dyDescent="0.2">
      <c r="A187" s="145"/>
      <c r="G187" s="148"/>
      <c r="H187" s="148"/>
      <c r="I187" s="148"/>
      <c r="K187" s="148"/>
      <c r="L187" s="148"/>
      <c r="M187" s="148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  <c r="AD187" s="85"/>
      <c r="AE187" s="85"/>
      <c r="AF187" s="85"/>
      <c r="AG187" s="85"/>
      <c r="AH187" s="85"/>
    </row>
    <row r="188" spans="1:34" s="146" customFormat="1" x14ac:dyDescent="0.2">
      <c r="A188" s="145"/>
      <c r="G188" s="148"/>
      <c r="H188" s="148"/>
      <c r="I188" s="148"/>
      <c r="K188" s="148"/>
      <c r="L188" s="148"/>
      <c r="M188" s="148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  <c r="AD188" s="85"/>
      <c r="AE188" s="85"/>
      <c r="AF188" s="85"/>
      <c r="AG188" s="85"/>
      <c r="AH188" s="85"/>
    </row>
    <row r="189" spans="1:34" s="146" customFormat="1" x14ac:dyDescent="0.2">
      <c r="A189" s="145"/>
      <c r="G189" s="148"/>
      <c r="H189" s="148"/>
      <c r="I189" s="148"/>
      <c r="K189" s="148"/>
      <c r="L189" s="148"/>
      <c r="M189" s="148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  <c r="AD189" s="85"/>
      <c r="AE189" s="85"/>
      <c r="AF189" s="85"/>
      <c r="AG189" s="85"/>
      <c r="AH189" s="85"/>
    </row>
    <row r="190" spans="1:34" s="146" customFormat="1" x14ac:dyDescent="0.2">
      <c r="A190" s="145"/>
      <c r="G190" s="148"/>
      <c r="H190" s="148"/>
      <c r="I190" s="148"/>
      <c r="K190" s="148"/>
      <c r="L190" s="148"/>
      <c r="M190" s="148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  <c r="AD190" s="85"/>
      <c r="AE190" s="85"/>
      <c r="AF190" s="85"/>
      <c r="AG190" s="85"/>
      <c r="AH190" s="85"/>
    </row>
    <row r="191" spans="1:34" s="146" customFormat="1" x14ac:dyDescent="0.2">
      <c r="A191" s="145"/>
      <c r="G191" s="148"/>
      <c r="H191" s="148"/>
      <c r="I191" s="148"/>
      <c r="K191" s="148"/>
      <c r="L191" s="148"/>
      <c r="M191" s="148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  <c r="AD191" s="85"/>
      <c r="AE191" s="85"/>
      <c r="AF191" s="85"/>
      <c r="AG191" s="85"/>
      <c r="AH191" s="85"/>
    </row>
    <row r="192" spans="1:34" s="146" customFormat="1" x14ac:dyDescent="0.2">
      <c r="A192" s="145"/>
      <c r="G192" s="148"/>
      <c r="H192" s="148"/>
      <c r="I192" s="148"/>
      <c r="K192" s="148"/>
      <c r="L192" s="148"/>
      <c r="M192" s="148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85"/>
      <c r="AF192" s="85"/>
      <c r="AG192" s="85"/>
      <c r="AH192" s="85"/>
    </row>
    <row r="193" spans="1:34" s="146" customFormat="1" x14ac:dyDescent="0.2">
      <c r="A193" s="145"/>
      <c r="G193" s="148"/>
      <c r="H193" s="148"/>
      <c r="I193" s="148"/>
      <c r="K193" s="148"/>
      <c r="L193" s="148"/>
      <c r="M193" s="148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  <c r="AD193" s="85"/>
      <c r="AE193" s="85"/>
      <c r="AF193" s="85"/>
      <c r="AG193" s="85"/>
      <c r="AH193" s="85"/>
    </row>
    <row r="194" spans="1:34" s="146" customFormat="1" x14ac:dyDescent="0.2">
      <c r="A194" s="145"/>
      <c r="G194" s="148"/>
      <c r="H194" s="148"/>
      <c r="I194" s="148"/>
      <c r="K194" s="148"/>
      <c r="L194" s="148"/>
      <c r="M194" s="148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  <c r="AD194" s="85"/>
      <c r="AE194" s="85"/>
      <c r="AF194" s="85"/>
      <c r="AG194" s="85"/>
      <c r="AH194" s="85"/>
    </row>
    <row r="195" spans="1:34" s="146" customFormat="1" x14ac:dyDescent="0.2">
      <c r="A195" s="145"/>
      <c r="G195" s="148"/>
      <c r="H195" s="148"/>
      <c r="I195" s="148"/>
      <c r="K195" s="148"/>
      <c r="L195" s="148"/>
      <c r="M195" s="148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  <c r="AC195" s="85"/>
      <c r="AD195" s="85"/>
      <c r="AE195" s="85"/>
      <c r="AF195" s="85"/>
      <c r="AG195" s="85"/>
      <c r="AH195" s="85"/>
    </row>
    <row r="196" spans="1:34" s="146" customFormat="1" x14ac:dyDescent="0.2">
      <c r="A196" s="145"/>
      <c r="G196" s="148"/>
      <c r="H196" s="148"/>
      <c r="I196" s="148"/>
      <c r="K196" s="148"/>
      <c r="L196" s="148"/>
      <c r="M196" s="148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  <c r="AD196" s="85"/>
      <c r="AE196" s="85"/>
      <c r="AF196" s="85"/>
      <c r="AG196" s="85"/>
      <c r="AH196" s="85"/>
    </row>
    <row r="197" spans="1:34" s="146" customFormat="1" x14ac:dyDescent="0.2">
      <c r="A197" s="145"/>
      <c r="G197" s="148"/>
      <c r="H197" s="148"/>
      <c r="I197" s="148"/>
      <c r="K197" s="148"/>
      <c r="L197" s="148"/>
      <c r="M197" s="148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  <c r="AC197" s="85"/>
      <c r="AD197" s="85"/>
      <c r="AE197" s="85"/>
      <c r="AF197" s="85"/>
      <c r="AG197" s="85"/>
      <c r="AH197" s="85"/>
    </row>
    <row r="198" spans="1:34" s="146" customFormat="1" x14ac:dyDescent="0.2">
      <c r="A198" s="145"/>
      <c r="G198" s="148"/>
      <c r="H198" s="148"/>
      <c r="I198" s="148"/>
      <c r="K198" s="148"/>
      <c r="L198" s="148"/>
      <c r="M198" s="148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  <c r="AC198" s="85"/>
      <c r="AD198" s="85"/>
      <c r="AE198" s="85"/>
      <c r="AF198" s="85"/>
      <c r="AG198" s="85"/>
      <c r="AH198" s="85"/>
    </row>
    <row r="199" spans="1:34" s="146" customFormat="1" x14ac:dyDescent="0.2">
      <c r="A199" s="145"/>
      <c r="G199" s="148"/>
      <c r="H199" s="148"/>
      <c r="I199" s="148"/>
      <c r="K199" s="148"/>
      <c r="L199" s="148"/>
      <c r="M199" s="148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  <c r="AC199" s="85"/>
      <c r="AD199" s="85"/>
      <c r="AE199" s="85"/>
      <c r="AF199" s="85"/>
      <c r="AG199" s="85"/>
      <c r="AH199" s="85"/>
    </row>
    <row r="200" spans="1:34" s="146" customFormat="1" x14ac:dyDescent="0.2">
      <c r="A200" s="145"/>
      <c r="G200" s="148"/>
      <c r="H200" s="148"/>
      <c r="I200" s="148"/>
      <c r="K200" s="148"/>
      <c r="L200" s="148"/>
      <c r="M200" s="148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  <c r="AC200" s="85"/>
      <c r="AD200" s="85"/>
      <c r="AE200" s="85"/>
      <c r="AF200" s="85"/>
      <c r="AG200" s="85"/>
      <c r="AH200" s="85"/>
    </row>
    <row r="201" spans="1:34" s="146" customFormat="1" x14ac:dyDescent="0.2">
      <c r="A201" s="145"/>
      <c r="G201" s="148"/>
      <c r="H201" s="148"/>
      <c r="I201" s="148"/>
      <c r="K201" s="148"/>
      <c r="L201" s="148"/>
      <c r="M201" s="148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  <c r="AC201" s="85"/>
      <c r="AD201" s="85"/>
      <c r="AE201" s="85"/>
      <c r="AF201" s="85"/>
      <c r="AG201" s="85"/>
      <c r="AH201" s="85"/>
    </row>
    <row r="202" spans="1:34" s="146" customFormat="1" x14ac:dyDescent="0.2">
      <c r="A202" s="145"/>
      <c r="G202" s="148"/>
      <c r="H202" s="148"/>
      <c r="I202" s="148"/>
      <c r="K202" s="148"/>
      <c r="L202" s="148"/>
      <c r="M202" s="148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  <c r="AC202" s="85"/>
      <c r="AD202" s="85"/>
      <c r="AE202" s="85"/>
      <c r="AF202" s="85"/>
      <c r="AG202" s="85"/>
      <c r="AH202" s="85"/>
    </row>
    <row r="203" spans="1:34" s="146" customFormat="1" x14ac:dyDescent="0.2">
      <c r="A203" s="145"/>
      <c r="G203" s="148"/>
      <c r="H203" s="148"/>
      <c r="I203" s="148"/>
      <c r="K203" s="148"/>
      <c r="L203" s="148"/>
      <c r="M203" s="148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  <c r="AC203" s="85"/>
      <c r="AD203" s="85"/>
      <c r="AE203" s="85"/>
      <c r="AF203" s="85"/>
      <c r="AG203" s="85"/>
      <c r="AH203" s="85"/>
    </row>
    <row r="204" spans="1:34" s="146" customFormat="1" x14ac:dyDescent="0.2">
      <c r="A204" s="145"/>
      <c r="G204" s="148"/>
      <c r="H204" s="148"/>
      <c r="I204" s="148"/>
      <c r="K204" s="148"/>
      <c r="L204" s="148"/>
      <c r="M204" s="148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  <c r="AC204" s="85"/>
      <c r="AD204" s="85"/>
      <c r="AE204" s="85"/>
      <c r="AF204" s="85"/>
      <c r="AG204" s="85"/>
      <c r="AH204" s="85"/>
    </row>
    <row r="205" spans="1:34" s="146" customFormat="1" x14ac:dyDescent="0.2">
      <c r="A205" s="145"/>
      <c r="G205" s="148"/>
      <c r="H205" s="148"/>
      <c r="I205" s="148"/>
      <c r="K205" s="148"/>
      <c r="L205" s="148"/>
      <c r="M205" s="148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  <c r="AC205" s="85"/>
      <c r="AD205" s="85"/>
      <c r="AE205" s="85"/>
      <c r="AF205" s="85"/>
      <c r="AG205" s="85"/>
      <c r="AH205" s="85"/>
    </row>
    <row r="206" spans="1:34" s="146" customFormat="1" x14ac:dyDescent="0.2">
      <c r="A206" s="145"/>
      <c r="G206" s="148"/>
      <c r="H206" s="148"/>
      <c r="I206" s="148"/>
      <c r="K206" s="148"/>
      <c r="L206" s="148"/>
      <c r="M206" s="148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  <c r="AC206" s="85"/>
      <c r="AD206" s="85"/>
      <c r="AE206" s="85"/>
      <c r="AF206" s="85"/>
      <c r="AG206" s="85"/>
      <c r="AH206" s="85"/>
    </row>
    <row r="207" spans="1:34" s="146" customFormat="1" x14ac:dyDescent="0.2">
      <c r="A207" s="145"/>
      <c r="G207" s="148"/>
      <c r="H207" s="148"/>
      <c r="I207" s="148"/>
      <c r="K207" s="148"/>
      <c r="L207" s="148"/>
      <c r="M207" s="148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85"/>
      <c r="AC207" s="85"/>
      <c r="AD207" s="85"/>
      <c r="AE207" s="85"/>
      <c r="AF207" s="85"/>
      <c r="AG207" s="85"/>
      <c r="AH207" s="85"/>
    </row>
    <row r="208" spans="1:34" s="146" customFormat="1" x14ac:dyDescent="0.2">
      <c r="A208" s="145"/>
      <c r="G208" s="148"/>
      <c r="H208" s="148"/>
      <c r="I208" s="148"/>
      <c r="K208" s="148"/>
      <c r="L208" s="148"/>
      <c r="M208" s="148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85"/>
      <c r="AC208" s="85"/>
      <c r="AD208" s="85"/>
      <c r="AE208" s="85"/>
      <c r="AF208" s="85"/>
      <c r="AG208" s="85"/>
      <c r="AH208" s="85"/>
    </row>
    <row r="209" spans="1:34" s="146" customFormat="1" x14ac:dyDescent="0.2">
      <c r="A209" s="145"/>
      <c r="G209" s="148"/>
      <c r="H209" s="148"/>
      <c r="I209" s="148"/>
      <c r="K209" s="148"/>
      <c r="L209" s="148"/>
      <c r="M209" s="148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85"/>
      <c r="AC209" s="85"/>
      <c r="AD209" s="85"/>
      <c r="AE209" s="85"/>
      <c r="AF209" s="85"/>
      <c r="AG209" s="85"/>
      <c r="AH209" s="85"/>
    </row>
    <row r="210" spans="1:34" s="146" customFormat="1" x14ac:dyDescent="0.2">
      <c r="A210" s="145"/>
      <c r="G210" s="148"/>
      <c r="H210" s="148"/>
      <c r="I210" s="148"/>
      <c r="K210" s="148"/>
      <c r="L210" s="148"/>
      <c r="M210" s="148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85"/>
      <c r="AC210" s="85"/>
      <c r="AD210" s="85"/>
      <c r="AE210" s="85"/>
      <c r="AF210" s="85"/>
      <c r="AG210" s="85"/>
      <c r="AH210" s="85"/>
    </row>
    <row r="211" spans="1:34" s="146" customFormat="1" x14ac:dyDescent="0.2">
      <c r="A211" s="145"/>
      <c r="G211" s="148"/>
      <c r="H211" s="148"/>
      <c r="I211" s="148"/>
      <c r="K211" s="148"/>
      <c r="L211" s="148"/>
      <c r="M211" s="148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85"/>
      <c r="AC211" s="85"/>
      <c r="AD211" s="85"/>
      <c r="AE211" s="85"/>
      <c r="AF211" s="85"/>
      <c r="AG211" s="85"/>
      <c r="AH211" s="85"/>
    </row>
    <row r="212" spans="1:34" s="146" customFormat="1" x14ac:dyDescent="0.2">
      <c r="A212" s="145"/>
      <c r="G212" s="148"/>
      <c r="H212" s="148"/>
      <c r="I212" s="148"/>
      <c r="K212" s="148"/>
      <c r="L212" s="148"/>
      <c r="M212" s="148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85"/>
      <c r="AC212" s="85"/>
      <c r="AD212" s="85"/>
      <c r="AE212" s="85"/>
      <c r="AF212" s="85"/>
      <c r="AG212" s="85"/>
      <c r="AH212" s="85"/>
    </row>
    <row r="213" spans="1:34" s="146" customFormat="1" x14ac:dyDescent="0.2">
      <c r="A213" s="145"/>
      <c r="G213" s="148"/>
      <c r="H213" s="148"/>
      <c r="I213" s="148"/>
      <c r="K213" s="148"/>
      <c r="L213" s="148"/>
      <c r="M213" s="148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85"/>
      <c r="AC213" s="85"/>
      <c r="AD213" s="85"/>
      <c r="AE213" s="85"/>
      <c r="AF213" s="85"/>
      <c r="AG213" s="85"/>
      <c r="AH213" s="85"/>
    </row>
    <row r="214" spans="1:34" s="146" customFormat="1" x14ac:dyDescent="0.2">
      <c r="A214" s="145"/>
      <c r="G214" s="148"/>
      <c r="H214" s="148"/>
      <c r="I214" s="148"/>
      <c r="K214" s="148"/>
      <c r="L214" s="148"/>
      <c r="M214" s="148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85"/>
      <c r="AC214" s="85"/>
      <c r="AD214" s="85"/>
      <c r="AE214" s="85"/>
      <c r="AF214" s="85"/>
      <c r="AG214" s="85"/>
      <c r="AH214" s="85"/>
    </row>
    <row r="215" spans="1:34" s="146" customFormat="1" x14ac:dyDescent="0.2">
      <c r="A215" s="145"/>
      <c r="G215" s="148"/>
      <c r="H215" s="148"/>
      <c r="I215" s="148"/>
      <c r="K215" s="148"/>
      <c r="L215" s="148"/>
      <c r="M215" s="148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85"/>
      <c r="AC215" s="85"/>
      <c r="AD215" s="85"/>
      <c r="AE215" s="85"/>
      <c r="AF215" s="85"/>
      <c r="AG215" s="85"/>
      <c r="AH215" s="85"/>
    </row>
    <row r="216" spans="1:34" s="146" customFormat="1" x14ac:dyDescent="0.2">
      <c r="A216" s="145"/>
      <c r="G216" s="148"/>
      <c r="H216" s="148"/>
      <c r="I216" s="148"/>
      <c r="K216" s="148"/>
      <c r="L216" s="148"/>
      <c r="M216" s="148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85"/>
      <c r="AC216" s="85"/>
      <c r="AD216" s="85"/>
      <c r="AE216" s="85"/>
      <c r="AF216" s="85"/>
      <c r="AG216" s="85"/>
      <c r="AH216" s="85"/>
    </row>
    <row r="217" spans="1:34" s="146" customFormat="1" x14ac:dyDescent="0.2">
      <c r="A217" s="145"/>
      <c r="G217" s="148"/>
      <c r="H217" s="148"/>
      <c r="I217" s="148"/>
      <c r="K217" s="148"/>
      <c r="L217" s="148"/>
      <c r="M217" s="148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85"/>
      <c r="AC217" s="85"/>
      <c r="AD217" s="85"/>
      <c r="AE217" s="85"/>
      <c r="AF217" s="85"/>
      <c r="AG217" s="85"/>
      <c r="AH217" s="85"/>
    </row>
    <row r="218" spans="1:34" s="146" customFormat="1" x14ac:dyDescent="0.2">
      <c r="A218" s="145"/>
      <c r="G218" s="148"/>
      <c r="H218" s="148"/>
      <c r="I218" s="148"/>
      <c r="K218" s="148"/>
      <c r="L218" s="148"/>
      <c r="M218" s="148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85"/>
      <c r="AC218" s="85"/>
      <c r="AD218" s="85"/>
      <c r="AE218" s="85"/>
      <c r="AF218" s="85"/>
      <c r="AG218" s="85"/>
      <c r="AH218" s="85"/>
    </row>
    <row r="219" spans="1:34" s="146" customFormat="1" x14ac:dyDescent="0.2">
      <c r="A219" s="145"/>
      <c r="G219" s="148"/>
      <c r="H219" s="148"/>
      <c r="I219" s="148"/>
      <c r="K219" s="148"/>
      <c r="L219" s="148"/>
      <c r="M219" s="148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85"/>
      <c r="AC219" s="85"/>
      <c r="AD219" s="85"/>
      <c r="AE219" s="85"/>
      <c r="AF219" s="85"/>
      <c r="AG219" s="85"/>
      <c r="AH219" s="85"/>
    </row>
    <row r="220" spans="1:34" s="146" customFormat="1" x14ac:dyDescent="0.2">
      <c r="A220" s="145"/>
      <c r="G220" s="148"/>
      <c r="H220" s="148"/>
      <c r="I220" s="148"/>
      <c r="K220" s="148"/>
      <c r="L220" s="148"/>
      <c r="M220" s="148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85"/>
      <c r="AC220" s="85"/>
      <c r="AD220" s="85"/>
      <c r="AE220" s="85"/>
      <c r="AF220" s="85"/>
      <c r="AG220" s="85"/>
      <c r="AH220" s="85"/>
    </row>
    <row r="221" spans="1:34" s="146" customFormat="1" x14ac:dyDescent="0.2">
      <c r="A221" s="145"/>
      <c r="G221" s="148"/>
      <c r="H221" s="148"/>
      <c r="I221" s="148"/>
      <c r="K221" s="148"/>
      <c r="L221" s="148"/>
      <c r="M221" s="148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85"/>
      <c r="AC221" s="85"/>
      <c r="AD221" s="85"/>
      <c r="AE221" s="85"/>
      <c r="AF221" s="85"/>
      <c r="AG221" s="85"/>
      <c r="AH221" s="85"/>
    </row>
    <row r="222" spans="1:34" s="146" customFormat="1" x14ac:dyDescent="0.2">
      <c r="A222" s="145"/>
      <c r="G222" s="148"/>
      <c r="H222" s="148"/>
      <c r="I222" s="148"/>
      <c r="K222" s="148"/>
      <c r="L222" s="148"/>
      <c r="M222" s="148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85"/>
      <c r="AC222" s="85"/>
      <c r="AD222" s="85"/>
      <c r="AE222" s="85"/>
      <c r="AF222" s="85"/>
      <c r="AG222" s="85"/>
      <c r="AH222" s="85"/>
    </row>
    <row r="223" spans="1:34" s="146" customFormat="1" x14ac:dyDescent="0.2">
      <c r="A223" s="145"/>
      <c r="G223" s="148"/>
      <c r="H223" s="148"/>
      <c r="I223" s="148"/>
      <c r="K223" s="148"/>
      <c r="L223" s="148"/>
      <c r="M223" s="148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85"/>
      <c r="AC223" s="85"/>
      <c r="AD223" s="85"/>
      <c r="AE223" s="85"/>
      <c r="AF223" s="85"/>
      <c r="AG223" s="85"/>
      <c r="AH223" s="85"/>
    </row>
    <row r="224" spans="1:34" s="146" customFormat="1" x14ac:dyDescent="0.2">
      <c r="A224" s="145"/>
      <c r="G224" s="148"/>
      <c r="H224" s="148"/>
      <c r="I224" s="148"/>
      <c r="K224" s="148"/>
      <c r="L224" s="148"/>
      <c r="M224" s="148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85"/>
      <c r="AC224" s="85"/>
      <c r="AD224" s="85"/>
      <c r="AE224" s="85"/>
      <c r="AF224" s="85"/>
      <c r="AG224" s="85"/>
      <c r="AH224" s="85"/>
    </row>
    <row r="225" spans="1:34" s="146" customFormat="1" x14ac:dyDescent="0.2">
      <c r="A225" s="145"/>
      <c r="G225" s="148"/>
      <c r="H225" s="148"/>
      <c r="I225" s="148"/>
      <c r="K225" s="148"/>
      <c r="L225" s="148"/>
      <c r="M225" s="148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85"/>
      <c r="AC225" s="85"/>
      <c r="AD225" s="85"/>
      <c r="AE225" s="85"/>
      <c r="AF225" s="85"/>
      <c r="AG225" s="85"/>
      <c r="AH225" s="85"/>
    </row>
    <row r="226" spans="1:34" s="146" customFormat="1" x14ac:dyDescent="0.2">
      <c r="A226" s="145"/>
      <c r="G226" s="148"/>
      <c r="H226" s="148"/>
      <c r="I226" s="148"/>
      <c r="K226" s="148"/>
      <c r="L226" s="148"/>
      <c r="M226" s="148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85"/>
      <c r="AC226" s="85"/>
      <c r="AD226" s="85"/>
      <c r="AE226" s="85"/>
      <c r="AF226" s="85"/>
      <c r="AG226" s="85"/>
      <c r="AH226" s="85"/>
    </row>
    <row r="227" spans="1:34" s="146" customFormat="1" x14ac:dyDescent="0.2">
      <c r="A227" s="145"/>
      <c r="G227" s="148"/>
      <c r="H227" s="148"/>
      <c r="I227" s="148"/>
      <c r="K227" s="148"/>
      <c r="L227" s="148"/>
      <c r="M227" s="148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85"/>
      <c r="AC227" s="85"/>
      <c r="AD227" s="85"/>
      <c r="AE227" s="85"/>
      <c r="AF227" s="85"/>
      <c r="AG227" s="85"/>
      <c r="AH227" s="85"/>
    </row>
    <row r="228" spans="1:34" s="146" customFormat="1" x14ac:dyDescent="0.2">
      <c r="A228" s="145"/>
      <c r="G228" s="148"/>
      <c r="H228" s="148"/>
      <c r="I228" s="148"/>
      <c r="K228" s="148"/>
      <c r="L228" s="148"/>
      <c r="M228" s="148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  <c r="AA228" s="85"/>
      <c r="AB228" s="85"/>
      <c r="AC228" s="85"/>
      <c r="AD228" s="85"/>
      <c r="AE228" s="85"/>
      <c r="AF228" s="85"/>
      <c r="AG228" s="85"/>
      <c r="AH228" s="85"/>
    </row>
    <row r="229" spans="1:34" s="146" customFormat="1" x14ac:dyDescent="0.2">
      <c r="A229" s="145"/>
      <c r="G229" s="148"/>
      <c r="H229" s="148"/>
      <c r="I229" s="148"/>
      <c r="K229" s="148"/>
      <c r="L229" s="148"/>
      <c r="M229" s="148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  <c r="AA229" s="85"/>
      <c r="AB229" s="85"/>
      <c r="AC229" s="85"/>
      <c r="AD229" s="85"/>
      <c r="AE229" s="85"/>
      <c r="AF229" s="85"/>
      <c r="AG229" s="85"/>
      <c r="AH229" s="85"/>
    </row>
    <row r="230" spans="1:34" s="146" customFormat="1" x14ac:dyDescent="0.2">
      <c r="A230" s="145"/>
      <c r="G230" s="148"/>
      <c r="H230" s="148"/>
      <c r="I230" s="148"/>
      <c r="K230" s="148"/>
      <c r="L230" s="148"/>
      <c r="M230" s="148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  <c r="AA230" s="85"/>
      <c r="AB230" s="85"/>
      <c r="AC230" s="85"/>
      <c r="AD230" s="85"/>
      <c r="AE230" s="85"/>
      <c r="AF230" s="85"/>
      <c r="AG230" s="85"/>
      <c r="AH230" s="85"/>
    </row>
    <row r="231" spans="1:34" s="146" customFormat="1" x14ac:dyDescent="0.2">
      <c r="A231" s="145"/>
      <c r="G231" s="148"/>
      <c r="H231" s="148"/>
      <c r="I231" s="148"/>
      <c r="K231" s="148"/>
      <c r="L231" s="148"/>
      <c r="M231" s="148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  <c r="AA231" s="85"/>
      <c r="AB231" s="85"/>
      <c r="AC231" s="85"/>
      <c r="AD231" s="85"/>
      <c r="AE231" s="85"/>
      <c r="AF231" s="85"/>
      <c r="AG231" s="85"/>
      <c r="AH231" s="85"/>
    </row>
    <row r="232" spans="1:34" s="146" customFormat="1" x14ac:dyDescent="0.2">
      <c r="A232" s="145"/>
      <c r="G232" s="148"/>
      <c r="H232" s="148"/>
      <c r="I232" s="148"/>
      <c r="K232" s="148"/>
      <c r="L232" s="148"/>
      <c r="M232" s="148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  <c r="AA232" s="85"/>
      <c r="AB232" s="85"/>
      <c r="AC232" s="85"/>
      <c r="AD232" s="85"/>
      <c r="AE232" s="85"/>
      <c r="AF232" s="85"/>
      <c r="AG232" s="85"/>
      <c r="AH232" s="85"/>
    </row>
    <row r="233" spans="1:34" s="146" customFormat="1" x14ac:dyDescent="0.2">
      <c r="A233" s="145"/>
      <c r="G233" s="148"/>
      <c r="H233" s="148"/>
      <c r="I233" s="148"/>
      <c r="K233" s="148"/>
      <c r="L233" s="148"/>
      <c r="M233" s="148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  <c r="AA233" s="85"/>
      <c r="AB233" s="85"/>
      <c r="AC233" s="85"/>
      <c r="AD233" s="85"/>
      <c r="AE233" s="85"/>
      <c r="AF233" s="85"/>
      <c r="AG233" s="85"/>
      <c r="AH233" s="85"/>
    </row>
    <row r="234" spans="1:34" s="146" customFormat="1" x14ac:dyDescent="0.2">
      <c r="A234" s="145"/>
      <c r="G234" s="148"/>
      <c r="H234" s="148"/>
      <c r="I234" s="148"/>
      <c r="K234" s="148"/>
      <c r="L234" s="148"/>
      <c r="M234" s="148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  <c r="AA234" s="85"/>
      <c r="AB234" s="85"/>
      <c r="AC234" s="85"/>
      <c r="AD234" s="85"/>
      <c r="AE234" s="85"/>
      <c r="AF234" s="85"/>
      <c r="AG234" s="85"/>
      <c r="AH234" s="85"/>
    </row>
    <row r="235" spans="1:34" s="146" customFormat="1" x14ac:dyDescent="0.2">
      <c r="A235" s="145"/>
      <c r="G235" s="148"/>
      <c r="H235" s="148"/>
      <c r="I235" s="148"/>
      <c r="K235" s="148"/>
      <c r="L235" s="148"/>
      <c r="M235" s="148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  <c r="AA235" s="85"/>
      <c r="AB235" s="85"/>
      <c r="AC235" s="85"/>
      <c r="AD235" s="85"/>
      <c r="AE235" s="85"/>
      <c r="AF235" s="85"/>
      <c r="AG235" s="85"/>
      <c r="AH235" s="85"/>
    </row>
    <row r="236" spans="1:34" s="146" customFormat="1" x14ac:dyDescent="0.2">
      <c r="A236" s="145"/>
      <c r="G236" s="148"/>
      <c r="H236" s="148"/>
      <c r="I236" s="148"/>
      <c r="K236" s="148"/>
      <c r="L236" s="148"/>
      <c r="M236" s="148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  <c r="AA236" s="85"/>
      <c r="AB236" s="85"/>
      <c r="AC236" s="85"/>
      <c r="AD236" s="85"/>
      <c r="AE236" s="85"/>
      <c r="AF236" s="85"/>
      <c r="AG236" s="85"/>
      <c r="AH236" s="85"/>
    </row>
    <row r="237" spans="1:34" s="146" customFormat="1" x14ac:dyDescent="0.2">
      <c r="A237" s="145"/>
      <c r="G237" s="148"/>
      <c r="H237" s="148"/>
      <c r="I237" s="148"/>
      <c r="K237" s="148"/>
      <c r="L237" s="148"/>
      <c r="M237" s="148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  <c r="AA237" s="85"/>
      <c r="AB237" s="85"/>
      <c r="AC237" s="85"/>
      <c r="AD237" s="85"/>
      <c r="AE237" s="85"/>
      <c r="AF237" s="85"/>
      <c r="AG237" s="85"/>
      <c r="AH237" s="85"/>
    </row>
    <row r="238" spans="1:34" s="146" customFormat="1" x14ac:dyDescent="0.2">
      <c r="A238" s="145"/>
      <c r="G238" s="148"/>
      <c r="H238" s="148"/>
      <c r="I238" s="148"/>
      <c r="K238" s="148"/>
      <c r="L238" s="148"/>
      <c r="M238" s="148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  <c r="AA238" s="85"/>
      <c r="AB238" s="85"/>
      <c r="AC238" s="85"/>
      <c r="AD238" s="85"/>
      <c r="AE238" s="85"/>
      <c r="AF238" s="85"/>
      <c r="AG238" s="85"/>
      <c r="AH238" s="85"/>
    </row>
    <row r="239" spans="1:34" s="146" customFormat="1" x14ac:dyDescent="0.2">
      <c r="A239" s="145"/>
      <c r="G239" s="148"/>
      <c r="H239" s="148"/>
      <c r="I239" s="148"/>
      <c r="K239" s="148"/>
      <c r="L239" s="148"/>
      <c r="M239" s="148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  <c r="AA239" s="85"/>
      <c r="AB239" s="85"/>
      <c r="AC239" s="85"/>
      <c r="AD239" s="85"/>
      <c r="AE239" s="85"/>
      <c r="AF239" s="85"/>
      <c r="AG239" s="85"/>
      <c r="AH239" s="85"/>
    </row>
    <row r="240" spans="1:34" s="146" customFormat="1" x14ac:dyDescent="0.2">
      <c r="A240" s="145"/>
      <c r="G240" s="148"/>
      <c r="H240" s="148"/>
      <c r="I240" s="148"/>
      <c r="K240" s="148"/>
      <c r="L240" s="148"/>
      <c r="M240" s="148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  <c r="AA240" s="85"/>
      <c r="AB240" s="85"/>
      <c r="AC240" s="85"/>
      <c r="AD240" s="85"/>
      <c r="AE240" s="85"/>
      <c r="AF240" s="85"/>
      <c r="AG240" s="85"/>
      <c r="AH240" s="85"/>
    </row>
    <row r="241" spans="1:34" s="146" customFormat="1" x14ac:dyDescent="0.2">
      <c r="A241" s="145"/>
      <c r="G241" s="148"/>
      <c r="H241" s="148"/>
      <c r="I241" s="148"/>
      <c r="K241" s="148"/>
      <c r="L241" s="148"/>
      <c r="M241" s="148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  <c r="AA241" s="85"/>
      <c r="AB241" s="85"/>
      <c r="AC241" s="85"/>
      <c r="AD241" s="85"/>
      <c r="AE241" s="85"/>
      <c r="AF241" s="85"/>
      <c r="AG241" s="85"/>
      <c r="AH241" s="85"/>
    </row>
    <row r="242" spans="1:34" s="146" customFormat="1" x14ac:dyDescent="0.2">
      <c r="A242" s="145"/>
      <c r="G242" s="148"/>
      <c r="H242" s="148"/>
      <c r="I242" s="148"/>
      <c r="K242" s="148"/>
      <c r="L242" s="148"/>
      <c r="M242" s="148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  <c r="AA242" s="85"/>
      <c r="AB242" s="85"/>
      <c r="AC242" s="85"/>
      <c r="AD242" s="85"/>
      <c r="AE242" s="85"/>
      <c r="AF242" s="85"/>
      <c r="AG242" s="85"/>
      <c r="AH242" s="85"/>
    </row>
    <row r="243" spans="1:34" s="146" customFormat="1" x14ac:dyDescent="0.2">
      <c r="A243" s="145"/>
      <c r="G243" s="148"/>
      <c r="H243" s="148"/>
      <c r="I243" s="148"/>
      <c r="K243" s="148"/>
      <c r="L243" s="148"/>
      <c r="M243" s="148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  <c r="AA243" s="85"/>
      <c r="AB243" s="85"/>
      <c r="AC243" s="85"/>
      <c r="AD243" s="85"/>
      <c r="AE243" s="85"/>
      <c r="AF243" s="85"/>
      <c r="AG243" s="85"/>
      <c r="AH243" s="85"/>
    </row>
    <row r="244" spans="1:34" s="146" customFormat="1" x14ac:dyDescent="0.2">
      <c r="A244" s="145"/>
      <c r="G244" s="148"/>
      <c r="H244" s="148"/>
      <c r="I244" s="148"/>
      <c r="K244" s="148"/>
      <c r="L244" s="148"/>
      <c r="M244" s="148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  <c r="AA244" s="85"/>
      <c r="AB244" s="85"/>
      <c r="AC244" s="85"/>
      <c r="AD244" s="85"/>
      <c r="AE244" s="85"/>
      <c r="AF244" s="85"/>
      <c r="AG244" s="85"/>
      <c r="AH244" s="85"/>
    </row>
    <row r="245" spans="1:34" s="146" customFormat="1" x14ac:dyDescent="0.2">
      <c r="A245" s="145"/>
      <c r="G245" s="148"/>
      <c r="H245" s="148"/>
      <c r="I245" s="148"/>
      <c r="K245" s="148"/>
      <c r="L245" s="148"/>
      <c r="M245" s="148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  <c r="AA245" s="85"/>
      <c r="AB245" s="85"/>
      <c r="AC245" s="85"/>
      <c r="AD245" s="85"/>
      <c r="AE245" s="85"/>
      <c r="AF245" s="85"/>
      <c r="AG245" s="85"/>
      <c r="AH245" s="85"/>
    </row>
    <row r="246" spans="1:34" s="146" customFormat="1" x14ac:dyDescent="0.2">
      <c r="A246" s="145"/>
      <c r="G246" s="148"/>
      <c r="H246" s="148"/>
      <c r="I246" s="148"/>
      <c r="K246" s="148"/>
      <c r="L246" s="148"/>
      <c r="M246" s="148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  <c r="AA246" s="85"/>
      <c r="AB246" s="85"/>
      <c r="AC246" s="85"/>
      <c r="AD246" s="85"/>
      <c r="AE246" s="85"/>
      <c r="AF246" s="85"/>
      <c r="AG246" s="85"/>
      <c r="AH246" s="85"/>
    </row>
    <row r="247" spans="1:34" s="146" customFormat="1" x14ac:dyDescent="0.2">
      <c r="A247" s="145"/>
      <c r="G247" s="148"/>
      <c r="H247" s="148"/>
      <c r="I247" s="148"/>
      <c r="K247" s="148"/>
      <c r="L247" s="148"/>
      <c r="M247" s="148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  <c r="AA247" s="85"/>
      <c r="AB247" s="85"/>
      <c r="AC247" s="85"/>
      <c r="AD247" s="85"/>
      <c r="AE247" s="85"/>
      <c r="AF247" s="85"/>
      <c r="AG247" s="85"/>
      <c r="AH247" s="85"/>
    </row>
    <row r="248" spans="1:34" s="146" customFormat="1" x14ac:dyDescent="0.2">
      <c r="A248" s="145"/>
      <c r="G248" s="148"/>
      <c r="H248" s="148"/>
      <c r="I248" s="148"/>
      <c r="K248" s="148"/>
      <c r="L248" s="148"/>
      <c r="M248" s="148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/>
      <c r="AA248" s="85"/>
      <c r="AB248" s="85"/>
      <c r="AC248" s="85"/>
      <c r="AD248" s="85"/>
      <c r="AE248" s="85"/>
      <c r="AF248" s="85"/>
      <c r="AG248" s="85"/>
      <c r="AH248" s="85"/>
    </row>
    <row r="249" spans="1:34" s="146" customFormat="1" x14ac:dyDescent="0.2">
      <c r="A249" s="145"/>
      <c r="G249" s="148"/>
      <c r="H249" s="148"/>
      <c r="I249" s="148"/>
      <c r="K249" s="148"/>
      <c r="L249" s="148"/>
      <c r="M249" s="148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  <c r="AA249" s="85"/>
      <c r="AB249" s="85"/>
      <c r="AC249" s="85"/>
      <c r="AD249" s="85"/>
      <c r="AE249" s="85"/>
      <c r="AF249" s="85"/>
      <c r="AG249" s="85"/>
      <c r="AH249" s="85"/>
    </row>
    <row r="250" spans="1:34" s="146" customFormat="1" x14ac:dyDescent="0.2">
      <c r="A250" s="145"/>
      <c r="G250" s="148"/>
      <c r="H250" s="148"/>
      <c r="I250" s="148"/>
      <c r="K250" s="148"/>
      <c r="L250" s="148"/>
      <c r="M250" s="148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  <c r="AA250" s="85"/>
      <c r="AB250" s="85"/>
      <c r="AC250" s="85"/>
      <c r="AD250" s="85"/>
      <c r="AE250" s="85"/>
      <c r="AF250" s="85"/>
      <c r="AG250" s="85"/>
      <c r="AH250" s="85"/>
    </row>
    <row r="251" spans="1:34" s="146" customFormat="1" x14ac:dyDescent="0.2">
      <c r="A251" s="145"/>
      <c r="G251" s="148"/>
      <c r="H251" s="148"/>
      <c r="I251" s="148"/>
      <c r="K251" s="148"/>
      <c r="L251" s="148"/>
      <c r="M251" s="148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  <c r="AA251" s="85"/>
      <c r="AB251" s="85"/>
      <c r="AC251" s="85"/>
      <c r="AD251" s="85"/>
      <c r="AE251" s="85"/>
      <c r="AF251" s="85"/>
      <c r="AG251" s="85"/>
      <c r="AH251" s="85"/>
    </row>
    <row r="252" spans="1:34" s="146" customFormat="1" x14ac:dyDescent="0.2">
      <c r="A252" s="145"/>
      <c r="G252" s="148"/>
      <c r="H252" s="148"/>
      <c r="I252" s="148"/>
      <c r="K252" s="148"/>
      <c r="L252" s="148"/>
      <c r="M252" s="148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  <c r="AA252" s="85"/>
      <c r="AB252" s="85"/>
      <c r="AC252" s="85"/>
      <c r="AD252" s="85"/>
      <c r="AE252" s="85"/>
      <c r="AF252" s="85"/>
      <c r="AG252" s="85"/>
      <c r="AH252" s="85"/>
    </row>
    <row r="253" spans="1:34" s="146" customFormat="1" x14ac:dyDescent="0.2">
      <c r="A253" s="145"/>
      <c r="G253" s="148"/>
      <c r="H253" s="148"/>
      <c r="I253" s="148"/>
      <c r="K253" s="148"/>
      <c r="L253" s="148"/>
      <c r="M253" s="148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85"/>
      <c r="AB253" s="85"/>
      <c r="AC253" s="85"/>
      <c r="AD253" s="85"/>
      <c r="AE253" s="85"/>
      <c r="AF253" s="85"/>
      <c r="AG253" s="85"/>
      <c r="AH253" s="85"/>
    </row>
    <row r="254" spans="1:34" s="146" customFormat="1" x14ac:dyDescent="0.2">
      <c r="A254" s="145"/>
      <c r="G254" s="148"/>
      <c r="H254" s="148"/>
      <c r="I254" s="148"/>
      <c r="K254" s="148"/>
      <c r="L254" s="148"/>
      <c r="M254" s="148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85"/>
      <c r="AB254" s="85"/>
      <c r="AC254" s="85"/>
      <c r="AD254" s="85"/>
      <c r="AE254" s="85"/>
      <c r="AF254" s="85"/>
      <c r="AG254" s="85"/>
      <c r="AH254" s="85"/>
    </row>
    <row r="255" spans="1:34" s="146" customFormat="1" x14ac:dyDescent="0.2">
      <c r="A255" s="145"/>
      <c r="G255" s="148"/>
      <c r="H255" s="148"/>
      <c r="I255" s="148"/>
      <c r="K255" s="148"/>
      <c r="L255" s="148"/>
      <c r="M255" s="148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85"/>
      <c r="AB255" s="85"/>
      <c r="AC255" s="85"/>
      <c r="AD255" s="85"/>
      <c r="AE255" s="85"/>
      <c r="AF255" s="85"/>
      <c r="AG255" s="85"/>
      <c r="AH255" s="85"/>
    </row>
    <row r="256" spans="1:34" s="146" customFormat="1" x14ac:dyDescent="0.2">
      <c r="A256" s="145"/>
      <c r="G256" s="148"/>
      <c r="H256" s="148"/>
      <c r="I256" s="148"/>
      <c r="K256" s="148"/>
      <c r="L256" s="148"/>
      <c r="M256" s="148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85"/>
      <c r="AB256" s="85"/>
      <c r="AC256" s="85"/>
      <c r="AD256" s="85"/>
      <c r="AE256" s="85"/>
      <c r="AF256" s="85"/>
      <c r="AG256" s="85"/>
      <c r="AH256" s="85"/>
    </row>
    <row r="257" spans="1:34" s="146" customFormat="1" x14ac:dyDescent="0.2">
      <c r="A257" s="145"/>
      <c r="G257" s="148"/>
      <c r="H257" s="148"/>
      <c r="I257" s="148"/>
      <c r="K257" s="148"/>
      <c r="L257" s="148"/>
      <c r="M257" s="148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85"/>
      <c r="AB257" s="85"/>
      <c r="AC257" s="85"/>
      <c r="AD257" s="85"/>
      <c r="AE257" s="85"/>
      <c r="AF257" s="85"/>
      <c r="AG257" s="85"/>
      <c r="AH257" s="85"/>
    </row>
    <row r="258" spans="1:34" s="146" customFormat="1" x14ac:dyDescent="0.2">
      <c r="A258" s="145"/>
      <c r="G258" s="148"/>
      <c r="H258" s="148"/>
      <c r="I258" s="148"/>
      <c r="K258" s="148"/>
      <c r="L258" s="148"/>
      <c r="M258" s="148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  <c r="AA258" s="85"/>
      <c r="AB258" s="85"/>
      <c r="AC258" s="85"/>
      <c r="AD258" s="85"/>
      <c r="AE258" s="85"/>
      <c r="AF258" s="85"/>
      <c r="AG258" s="85"/>
      <c r="AH258" s="85"/>
    </row>
    <row r="259" spans="1:34" s="146" customFormat="1" x14ac:dyDescent="0.2">
      <c r="A259" s="145"/>
      <c r="G259" s="148"/>
      <c r="H259" s="148"/>
      <c r="I259" s="148"/>
      <c r="K259" s="148"/>
      <c r="L259" s="148"/>
      <c r="M259" s="148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/>
      <c r="AA259" s="85"/>
      <c r="AB259" s="85"/>
      <c r="AC259" s="85"/>
      <c r="AD259" s="85"/>
      <c r="AE259" s="85"/>
      <c r="AF259" s="85"/>
      <c r="AG259" s="85"/>
      <c r="AH259" s="85"/>
    </row>
    <row r="260" spans="1:34" s="146" customFormat="1" x14ac:dyDescent="0.2">
      <c r="A260" s="145"/>
      <c r="G260" s="148"/>
      <c r="H260" s="148"/>
      <c r="I260" s="148"/>
      <c r="K260" s="148"/>
      <c r="L260" s="148"/>
      <c r="M260" s="148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  <c r="AA260" s="85"/>
      <c r="AB260" s="85"/>
      <c r="AC260" s="85"/>
      <c r="AD260" s="85"/>
      <c r="AE260" s="85"/>
      <c r="AF260" s="85"/>
      <c r="AG260" s="85"/>
      <c r="AH260" s="85"/>
    </row>
    <row r="261" spans="1:34" s="146" customFormat="1" x14ac:dyDescent="0.2">
      <c r="A261" s="145"/>
      <c r="G261" s="148"/>
      <c r="H261" s="148"/>
      <c r="I261" s="148"/>
      <c r="K261" s="148"/>
      <c r="L261" s="148"/>
      <c r="M261" s="148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  <c r="AA261" s="85"/>
      <c r="AB261" s="85"/>
      <c r="AC261" s="85"/>
      <c r="AD261" s="85"/>
      <c r="AE261" s="85"/>
      <c r="AF261" s="85"/>
      <c r="AG261" s="85"/>
      <c r="AH261" s="85"/>
    </row>
    <row r="262" spans="1:34" s="146" customFormat="1" x14ac:dyDescent="0.2">
      <c r="A262" s="145"/>
      <c r="G262" s="148"/>
      <c r="H262" s="148"/>
      <c r="I262" s="148"/>
      <c r="K262" s="148"/>
      <c r="L262" s="148"/>
      <c r="M262" s="148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  <c r="AA262" s="85"/>
      <c r="AB262" s="85"/>
      <c r="AC262" s="85"/>
      <c r="AD262" s="85"/>
      <c r="AE262" s="85"/>
      <c r="AF262" s="85"/>
      <c r="AG262" s="85"/>
      <c r="AH262" s="85"/>
    </row>
    <row r="263" spans="1:34" s="146" customFormat="1" x14ac:dyDescent="0.2">
      <c r="A263" s="145"/>
      <c r="G263" s="148"/>
      <c r="H263" s="148"/>
      <c r="I263" s="148"/>
      <c r="K263" s="148"/>
      <c r="L263" s="148"/>
      <c r="M263" s="148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  <c r="AA263" s="85"/>
      <c r="AB263" s="85"/>
      <c r="AC263" s="85"/>
      <c r="AD263" s="85"/>
      <c r="AE263" s="85"/>
      <c r="AF263" s="85"/>
      <c r="AG263" s="85"/>
      <c r="AH263" s="85"/>
    </row>
    <row r="264" spans="1:34" s="146" customFormat="1" x14ac:dyDescent="0.2">
      <c r="A264" s="145"/>
      <c r="G264" s="148"/>
      <c r="H264" s="148"/>
      <c r="I264" s="148"/>
      <c r="K264" s="148"/>
      <c r="L264" s="148"/>
      <c r="M264" s="148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  <c r="AA264" s="85"/>
      <c r="AB264" s="85"/>
      <c r="AC264" s="85"/>
      <c r="AD264" s="85"/>
      <c r="AE264" s="85"/>
      <c r="AF264" s="85"/>
      <c r="AG264" s="85"/>
      <c r="AH264" s="85"/>
    </row>
    <row r="265" spans="1:34" s="146" customFormat="1" x14ac:dyDescent="0.2">
      <c r="A265" s="145"/>
      <c r="G265" s="148"/>
      <c r="H265" s="148"/>
      <c r="I265" s="148"/>
      <c r="K265" s="148"/>
      <c r="L265" s="148"/>
      <c r="M265" s="148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  <c r="AA265" s="85"/>
      <c r="AB265" s="85"/>
      <c r="AC265" s="85"/>
      <c r="AD265" s="85"/>
      <c r="AE265" s="85"/>
      <c r="AF265" s="85"/>
      <c r="AG265" s="85"/>
      <c r="AH265" s="85"/>
    </row>
    <row r="266" spans="1:34" s="146" customFormat="1" x14ac:dyDescent="0.2">
      <c r="A266" s="145"/>
      <c r="G266" s="148"/>
      <c r="H266" s="148"/>
      <c r="I266" s="148"/>
      <c r="K266" s="148"/>
      <c r="L266" s="148"/>
      <c r="M266" s="148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  <c r="AA266" s="85"/>
      <c r="AB266" s="85"/>
      <c r="AC266" s="85"/>
      <c r="AD266" s="85"/>
      <c r="AE266" s="85"/>
      <c r="AF266" s="85"/>
      <c r="AG266" s="85"/>
      <c r="AH266" s="85"/>
    </row>
    <row r="267" spans="1:34" s="146" customFormat="1" x14ac:dyDescent="0.2">
      <c r="A267" s="145"/>
      <c r="G267" s="148"/>
      <c r="H267" s="148"/>
      <c r="I267" s="148"/>
      <c r="K267" s="148"/>
      <c r="L267" s="148"/>
      <c r="M267" s="148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  <c r="AA267" s="85"/>
      <c r="AB267" s="85"/>
      <c r="AC267" s="85"/>
      <c r="AD267" s="85"/>
      <c r="AE267" s="85"/>
      <c r="AF267" s="85"/>
      <c r="AG267" s="85"/>
      <c r="AH267" s="85"/>
    </row>
    <row r="268" spans="1:34" s="146" customFormat="1" x14ac:dyDescent="0.2">
      <c r="A268" s="145"/>
      <c r="G268" s="148"/>
      <c r="H268" s="148"/>
      <c r="I268" s="148"/>
      <c r="K268" s="148"/>
      <c r="L268" s="148"/>
      <c r="M268" s="148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  <c r="AA268" s="85"/>
      <c r="AB268" s="85"/>
      <c r="AC268" s="85"/>
      <c r="AD268" s="85"/>
      <c r="AE268" s="85"/>
      <c r="AF268" s="85"/>
      <c r="AG268" s="85"/>
      <c r="AH268" s="85"/>
    </row>
    <row r="269" spans="1:34" s="146" customFormat="1" x14ac:dyDescent="0.2">
      <c r="A269" s="145"/>
      <c r="G269" s="148"/>
      <c r="H269" s="148"/>
      <c r="I269" s="148"/>
      <c r="K269" s="148"/>
      <c r="L269" s="148"/>
      <c r="M269" s="148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  <c r="AA269" s="85"/>
      <c r="AB269" s="85"/>
      <c r="AC269" s="85"/>
      <c r="AD269" s="85"/>
      <c r="AE269" s="85"/>
      <c r="AF269" s="85"/>
      <c r="AG269" s="85"/>
      <c r="AH269" s="85"/>
    </row>
    <row r="270" spans="1:34" s="146" customFormat="1" x14ac:dyDescent="0.2">
      <c r="A270" s="145"/>
      <c r="G270" s="148"/>
      <c r="H270" s="148"/>
      <c r="I270" s="148"/>
      <c r="K270" s="148"/>
      <c r="L270" s="148"/>
      <c r="M270" s="148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  <c r="AA270" s="85"/>
      <c r="AB270" s="85"/>
      <c r="AC270" s="85"/>
      <c r="AD270" s="85"/>
      <c r="AE270" s="85"/>
      <c r="AF270" s="85"/>
      <c r="AG270" s="85"/>
      <c r="AH270" s="85"/>
    </row>
    <row r="271" spans="1:34" s="146" customFormat="1" x14ac:dyDescent="0.2">
      <c r="A271" s="145"/>
      <c r="G271" s="148"/>
      <c r="H271" s="148"/>
      <c r="I271" s="148"/>
      <c r="K271" s="148"/>
      <c r="L271" s="148"/>
      <c r="M271" s="148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  <c r="AA271" s="85"/>
      <c r="AB271" s="85"/>
      <c r="AC271" s="85"/>
      <c r="AD271" s="85"/>
      <c r="AE271" s="85"/>
      <c r="AF271" s="85"/>
      <c r="AG271" s="85"/>
      <c r="AH271" s="85"/>
    </row>
    <row r="272" spans="1:34" s="146" customFormat="1" x14ac:dyDescent="0.2">
      <c r="A272" s="145"/>
      <c r="G272" s="148"/>
      <c r="H272" s="148"/>
      <c r="I272" s="148"/>
      <c r="K272" s="148"/>
      <c r="L272" s="148"/>
      <c r="M272" s="148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/>
      <c r="AA272" s="85"/>
      <c r="AB272" s="85"/>
      <c r="AC272" s="85"/>
      <c r="AD272" s="85"/>
      <c r="AE272" s="85"/>
      <c r="AF272" s="85"/>
      <c r="AG272" s="85"/>
      <c r="AH272" s="85"/>
    </row>
    <row r="273" spans="1:34" s="146" customFormat="1" x14ac:dyDescent="0.2">
      <c r="A273" s="145"/>
      <c r="G273" s="148"/>
      <c r="H273" s="148"/>
      <c r="I273" s="148"/>
      <c r="K273" s="148"/>
      <c r="L273" s="148"/>
      <c r="M273" s="148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  <c r="AA273" s="85"/>
      <c r="AB273" s="85"/>
      <c r="AC273" s="85"/>
      <c r="AD273" s="85"/>
      <c r="AE273" s="85"/>
      <c r="AF273" s="85"/>
      <c r="AG273" s="85"/>
      <c r="AH273" s="85"/>
    </row>
    <row r="274" spans="1:34" s="146" customFormat="1" x14ac:dyDescent="0.2">
      <c r="A274" s="145"/>
      <c r="G274" s="148"/>
      <c r="H274" s="148"/>
      <c r="I274" s="148"/>
      <c r="K274" s="148"/>
      <c r="L274" s="148"/>
      <c r="M274" s="148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  <c r="AA274" s="85"/>
      <c r="AB274" s="85"/>
      <c r="AC274" s="85"/>
      <c r="AD274" s="85"/>
      <c r="AE274" s="85"/>
      <c r="AF274" s="85"/>
      <c r="AG274" s="85"/>
      <c r="AH274" s="85"/>
    </row>
    <row r="275" spans="1:34" s="146" customFormat="1" x14ac:dyDescent="0.2">
      <c r="A275" s="145"/>
      <c r="G275" s="148"/>
      <c r="H275" s="148"/>
      <c r="I275" s="148"/>
      <c r="K275" s="148"/>
      <c r="L275" s="148"/>
      <c r="M275" s="148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  <c r="AA275" s="85"/>
      <c r="AB275" s="85"/>
      <c r="AC275" s="85"/>
      <c r="AD275" s="85"/>
      <c r="AE275" s="85"/>
      <c r="AF275" s="85"/>
      <c r="AG275" s="85"/>
      <c r="AH275" s="85"/>
    </row>
    <row r="276" spans="1:34" s="146" customFormat="1" x14ac:dyDescent="0.2">
      <c r="A276" s="145"/>
      <c r="G276" s="148"/>
      <c r="H276" s="148"/>
      <c r="I276" s="148"/>
      <c r="K276" s="148"/>
      <c r="L276" s="148"/>
      <c r="M276" s="148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  <c r="AA276" s="85"/>
      <c r="AB276" s="85"/>
      <c r="AC276" s="85"/>
      <c r="AD276" s="85"/>
      <c r="AE276" s="85"/>
      <c r="AF276" s="85"/>
      <c r="AG276" s="85"/>
      <c r="AH276" s="85"/>
    </row>
    <row r="277" spans="1:34" s="146" customFormat="1" x14ac:dyDescent="0.2">
      <c r="A277" s="145"/>
      <c r="G277" s="148"/>
      <c r="H277" s="148"/>
      <c r="I277" s="148"/>
      <c r="K277" s="148"/>
      <c r="L277" s="148"/>
      <c r="M277" s="148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  <c r="AA277" s="85"/>
      <c r="AB277" s="85"/>
      <c r="AC277" s="85"/>
      <c r="AD277" s="85"/>
      <c r="AE277" s="85"/>
      <c r="AF277" s="85"/>
      <c r="AG277" s="85"/>
      <c r="AH277" s="85"/>
    </row>
    <row r="278" spans="1:34" s="146" customFormat="1" x14ac:dyDescent="0.2">
      <c r="A278" s="145"/>
      <c r="G278" s="148"/>
      <c r="H278" s="148"/>
      <c r="I278" s="148"/>
      <c r="K278" s="148"/>
      <c r="L278" s="148"/>
      <c r="M278" s="148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  <c r="AA278" s="85"/>
      <c r="AB278" s="85"/>
      <c r="AC278" s="85"/>
      <c r="AD278" s="85"/>
      <c r="AE278" s="85"/>
      <c r="AF278" s="85"/>
      <c r="AG278" s="85"/>
      <c r="AH278" s="85"/>
    </row>
    <row r="279" spans="1:34" s="146" customFormat="1" x14ac:dyDescent="0.2">
      <c r="A279" s="145"/>
      <c r="G279" s="148"/>
      <c r="H279" s="148"/>
      <c r="I279" s="148"/>
      <c r="K279" s="148"/>
      <c r="L279" s="148"/>
      <c r="M279" s="148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  <c r="AA279" s="85"/>
      <c r="AB279" s="85"/>
      <c r="AC279" s="85"/>
      <c r="AD279" s="85"/>
      <c r="AE279" s="85"/>
      <c r="AF279" s="85"/>
      <c r="AG279" s="85"/>
      <c r="AH279" s="85"/>
    </row>
    <row r="280" spans="1:34" s="146" customFormat="1" x14ac:dyDescent="0.2">
      <c r="A280" s="145"/>
      <c r="G280" s="148"/>
      <c r="H280" s="148"/>
      <c r="I280" s="148"/>
      <c r="K280" s="148"/>
      <c r="L280" s="148"/>
      <c r="M280" s="148"/>
      <c r="N280" s="85"/>
      <c r="O280" s="85"/>
      <c r="P280" s="85"/>
      <c r="Q280" s="85"/>
      <c r="R280" s="85"/>
      <c r="S280" s="85"/>
      <c r="T280" s="85"/>
      <c r="U280" s="85"/>
      <c r="V280" s="85"/>
      <c r="W280" s="85"/>
      <c r="X280" s="85"/>
      <c r="Y280" s="85"/>
      <c r="Z280" s="85"/>
      <c r="AA280" s="85"/>
      <c r="AB280" s="85"/>
      <c r="AC280" s="85"/>
      <c r="AD280" s="85"/>
      <c r="AE280" s="85"/>
      <c r="AF280" s="85"/>
      <c r="AG280" s="85"/>
      <c r="AH280" s="85"/>
    </row>
    <row r="281" spans="1:34" s="146" customFormat="1" x14ac:dyDescent="0.2">
      <c r="A281" s="145"/>
      <c r="G281" s="148"/>
      <c r="H281" s="148"/>
      <c r="I281" s="148"/>
      <c r="K281" s="148"/>
      <c r="L281" s="148"/>
      <c r="M281" s="148"/>
      <c r="N281" s="85"/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  <c r="Z281" s="85"/>
      <c r="AA281" s="85"/>
      <c r="AB281" s="85"/>
      <c r="AC281" s="85"/>
      <c r="AD281" s="85"/>
      <c r="AE281" s="85"/>
      <c r="AF281" s="85"/>
      <c r="AG281" s="85"/>
      <c r="AH281" s="85"/>
    </row>
    <row r="282" spans="1:34" s="146" customFormat="1" x14ac:dyDescent="0.2">
      <c r="A282" s="145"/>
      <c r="G282" s="148"/>
      <c r="H282" s="148"/>
      <c r="I282" s="148"/>
      <c r="K282" s="148"/>
      <c r="L282" s="148"/>
      <c r="M282" s="148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/>
      <c r="AA282" s="85"/>
      <c r="AB282" s="85"/>
      <c r="AC282" s="85"/>
      <c r="AD282" s="85"/>
      <c r="AE282" s="85"/>
      <c r="AF282" s="85"/>
      <c r="AG282" s="85"/>
      <c r="AH282" s="85"/>
    </row>
    <row r="283" spans="1:34" s="146" customFormat="1" x14ac:dyDescent="0.2">
      <c r="A283" s="145"/>
      <c r="G283" s="148"/>
      <c r="H283" s="148"/>
      <c r="I283" s="148"/>
      <c r="K283" s="148"/>
      <c r="L283" s="148"/>
      <c r="M283" s="148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85"/>
      <c r="AA283" s="85"/>
      <c r="AB283" s="85"/>
      <c r="AC283" s="85"/>
      <c r="AD283" s="85"/>
      <c r="AE283" s="85"/>
      <c r="AF283" s="85"/>
      <c r="AG283" s="85"/>
      <c r="AH283" s="85"/>
    </row>
    <row r="284" spans="1:34" s="146" customFormat="1" x14ac:dyDescent="0.2">
      <c r="A284" s="145"/>
      <c r="G284" s="148"/>
      <c r="H284" s="148"/>
      <c r="I284" s="148"/>
      <c r="K284" s="148"/>
      <c r="L284" s="148"/>
      <c r="M284" s="148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  <c r="AA284" s="85"/>
      <c r="AB284" s="85"/>
      <c r="AC284" s="85"/>
      <c r="AD284" s="85"/>
      <c r="AE284" s="85"/>
      <c r="AF284" s="85"/>
      <c r="AG284" s="85"/>
      <c r="AH284" s="85"/>
    </row>
    <row r="285" spans="1:34" s="146" customFormat="1" x14ac:dyDescent="0.2">
      <c r="A285" s="145"/>
      <c r="G285" s="148"/>
      <c r="H285" s="148"/>
      <c r="I285" s="148"/>
      <c r="K285" s="148"/>
      <c r="L285" s="148"/>
      <c r="M285" s="148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  <c r="AA285" s="85"/>
      <c r="AB285" s="85"/>
      <c r="AC285" s="85"/>
      <c r="AD285" s="85"/>
      <c r="AE285" s="85"/>
      <c r="AF285" s="85"/>
      <c r="AG285" s="85"/>
      <c r="AH285" s="85"/>
    </row>
    <row r="286" spans="1:34" s="146" customFormat="1" x14ac:dyDescent="0.2">
      <c r="A286" s="145"/>
      <c r="G286" s="148"/>
      <c r="H286" s="148"/>
      <c r="I286" s="148"/>
      <c r="K286" s="148"/>
      <c r="L286" s="148"/>
      <c r="M286" s="148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  <c r="AA286" s="85"/>
      <c r="AB286" s="85"/>
      <c r="AC286" s="85"/>
      <c r="AD286" s="85"/>
      <c r="AE286" s="85"/>
      <c r="AF286" s="85"/>
      <c r="AG286" s="85"/>
      <c r="AH286" s="85"/>
    </row>
    <row r="287" spans="1:34" s="146" customFormat="1" x14ac:dyDescent="0.2">
      <c r="A287" s="145"/>
      <c r="G287" s="148"/>
      <c r="H287" s="148"/>
      <c r="I287" s="148"/>
      <c r="K287" s="148"/>
      <c r="L287" s="148"/>
      <c r="M287" s="148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/>
      <c r="AA287" s="85"/>
      <c r="AB287" s="85"/>
      <c r="AC287" s="85"/>
      <c r="AD287" s="85"/>
      <c r="AE287" s="85"/>
      <c r="AF287" s="85"/>
      <c r="AG287" s="85"/>
      <c r="AH287" s="85"/>
    </row>
    <row r="288" spans="1:34" s="146" customFormat="1" x14ac:dyDescent="0.2">
      <c r="A288" s="145"/>
      <c r="G288" s="148"/>
      <c r="H288" s="148"/>
      <c r="I288" s="148"/>
      <c r="K288" s="148"/>
      <c r="L288" s="148"/>
      <c r="M288" s="148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  <c r="AA288" s="85"/>
      <c r="AB288" s="85"/>
      <c r="AC288" s="85"/>
      <c r="AD288" s="85"/>
      <c r="AE288" s="85"/>
      <c r="AF288" s="85"/>
      <c r="AG288" s="85"/>
      <c r="AH288" s="85"/>
    </row>
    <row r="289" spans="1:34" s="146" customFormat="1" x14ac:dyDescent="0.2">
      <c r="A289" s="145"/>
      <c r="G289" s="148"/>
      <c r="H289" s="148"/>
      <c r="I289" s="148"/>
      <c r="K289" s="148"/>
      <c r="L289" s="148"/>
      <c r="M289" s="148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  <c r="AA289" s="85"/>
      <c r="AB289" s="85"/>
      <c r="AC289" s="85"/>
      <c r="AD289" s="85"/>
      <c r="AE289" s="85"/>
      <c r="AF289" s="85"/>
      <c r="AG289" s="85"/>
      <c r="AH289" s="85"/>
    </row>
    <row r="290" spans="1:34" s="146" customFormat="1" x14ac:dyDescent="0.2">
      <c r="A290" s="145"/>
      <c r="G290" s="148"/>
      <c r="H290" s="148"/>
      <c r="I290" s="148"/>
      <c r="K290" s="148"/>
      <c r="L290" s="148"/>
      <c r="M290" s="148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  <c r="AA290" s="85"/>
      <c r="AB290" s="85"/>
      <c r="AC290" s="85"/>
      <c r="AD290" s="85"/>
      <c r="AE290" s="85"/>
      <c r="AF290" s="85"/>
      <c r="AG290" s="85"/>
      <c r="AH290" s="85"/>
    </row>
    <row r="291" spans="1:34" s="146" customFormat="1" x14ac:dyDescent="0.2">
      <c r="A291" s="145"/>
      <c r="G291" s="148"/>
      <c r="H291" s="148"/>
      <c r="I291" s="148"/>
      <c r="K291" s="148"/>
      <c r="L291" s="148"/>
      <c r="M291" s="148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85"/>
      <c r="AA291" s="85"/>
      <c r="AB291" s="85"/>
      <c r="AC291" s="85"/>
      <c r="AD291" s="85"/>
      <c r="AE291" s="85"/>
      <c r="AF291" s="85"/>
      <c r="AG291" s="85"/>
      <c r="AH291" s="85"/>
    </row>
    <row r="292" spans="1:34" s="146" customFormat="1" x14ac:dyDescent="0.2">
      <c r="A292" s="145"/>
      <c r="G292" s="148"/>
      <c r="H292" s="148"/>
      <c r="I292" s="148"/>
      <c r="K292" s="148"/>
      <c r="L292" s="148"/>
      <c r="M292" s="148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  <c r="AA292" s="85"/>
      <c r="AB292" s="85"/>
      <c r="AC292" s="85"/>
      <c r="AD292" s="85"/>
      <c r="AE292" s="85"/>
      <c r="AF292" s="85"/>
      <c r="AG292" s="85"/>
      <c r="AH292" s="85"/>
    </row>
    <row r="293" spans="1:34" s="146" customFormat="1" x14ac:dyDescent="0.2">
      <c r="A293" s="145"/>
      <c r="G293" s="148"/>
      <c r="H293" s="148"/>
      <c r="I293" s="148"/>
      <c r="K293" s="148"/>
      <c r="L293" s="148"/>
      <c r="M293" s="148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/>
      <c r="AA293" s="85"/>
      <c r="AB293" s="85"/>
      <c r="AC293" s="85"/>
      <c r="AD293" s="85"/>
      <c r="AE293" s="85"/>
      <c r="AF293" s="85"/>
      <c r="AG293" s="85"/>
      <c r="AH293" s="85"/>
    </row>
    <row r="294" spans="1:34" s="146" customFormat="1" x14ac:dyDescent="0.2">
      <c r="A294" s="145"/>
      <c r="G294" s="148"/>
      <c r="H294" s="148"/>
      <c r="I294" s="148"/>
      <c r="K294" s="148"/>
      <c r="L294" s="148"/>
      <c r="M294" s="148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  <c r="AA294" s="85"/>
      <c r="AB294" s="85"/>
      <c r="AC294" s="85"/>
      <c r="AD294" s="85"/>
      <c r="AE294" s="85"/>
      <c r="AF294" s="85"/>
      <c r="AG294" s="85"/>
      <c r="AH294" s="85"/>
    </row>
    <row r="295" spans="1:34" s="146" customFormat="1" x14ac:dyDescent="0.2">
      <c r="A295" s="145"/>
      <c r="G295" s="148"/>
      <c r="H295" s="148"/>
      <c r="I295" s="148"/>
      <c r="K295" s="148"/>
      <c r="L295" s="148"/>
      <c r="M295" s="148"/>
      <c r="N295" s="85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85"/>
      <c r="AA295" s="85"/>
      <c r="AB295" s="85"/>
      <c r="AC295" s="85"/>
      <c r="AD295" s="85"/>
      <c r="AE295" s="85"/>
      <c r="AF295" s="85"/>
      <c r="AG295" s="85"/>
      <c r="AH295" s="85"/>
    </row>
    <row r="296" spans="1:34" s="146" customFormat="1" x14ac:dyDescent="0.2">
      <c r="A296" s="145"/>
      <c r="G296" s="148"/>
      <c r="H296" s="148"/>
      <c r="I296" s="148"/>
      <c r="K296" s="148"/>
      <c r="L296" s="148"/>
      <c r="M296" s="148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/>
      <c r="AA296" s="85"/>
      <c r="AB296" s="85"/>
      <c r="AC296" s="85"/>
      <c r="AD296" s="85"/>
      <c r="AE296" s="85"/>
      <c r="AF296" s="85"/>
      <c r="AG296" s="85"/>
      <c r="AH296" s="85"/>
    </row>
    <row r="297" spans="1:34" s="146" customFormat="1" x14ac:dyDescent="0.2">
      <c r="A297" s="145"/>
      <c r="G297" s="148"/>
      <c r="H297" s="148"/>
      <c r="I297" s="148"/>
      <c r="K297" s="148"/>
      <c r="L297" s="148"/>
      <c r="M297" s="148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  <c r="AA297" s="85"/>
      <c r="AB297" s="85"/>
      <c r="AC297" s="85"/>
      <c r="AD297" s="85"/>
      <c r="AE297" s="85"/>
      <c r="AF297" s="85"/>
      <c r="AG297" s="85"/>
      <c r="AH297" s="85"/>
    </row>
    <row r="298" spans="1:34" s="146" customFormat="1" x14ac:dyDescent="0.2">
      <c r="A298" s="145"/>
      <c r="G298" s="148"/>
      <c r="H298" s="148"/>
      <c r="I298" s="148"/>
      <c r="K298" s="148"/>
      <c r="L298" s="148"/>
      <c r="M298" s="148"/>
      <c r="N298" s="85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85"/>
      <c r="AA298" s="85"/>
      <c r="AB298" s="85"/>
      <c r="AC298" s="85"/>
      <c r="AD298" s="85"/>
      <c r="AE298" s="85"/>
      <c r="AF298" s="85"/>
      <c r="AG298" s="85"/>
      <c r="AH298" s="85"/>
    </row>
    <row r="299" spans="1:34" s="146" customFormat="1" x14ac:dyDescent="0.2">
      <c r="A299" s="145"/>
      <c r="G299" s="148"/>
      <c r="H299" s="148"/>
      <c r="I299" s="148"/>
      <c r="K299" s="148"/>
      <c r="L299" s="148"/>
      <c r="M299" s="148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85"/>
      <c r="AA299" s="85"/>
      <c r="AB299" s="85"/>
      <c r="AC299" s="85"/>
      <c r="AD299" s="85"/>
      <c r="AE299" s="85"/>
      <c r="AF299" s="85"/>
      <c r="AG299" s="85"/>
      <c r="AH299" s="85"/>
    </row>
    <row r="300" spans="1:34" s="146" customFormat="1" x14ac:dyDescent="0.2">
      <c r="A300" s="145"/>
      <c r="G300" s="148"/>
      <c r="H300" s="148"/>
      <c r="I300" s="148"/>
      <c r="K300" s="148"/>
      <c r="L300" s="148"/>
      <c r="M300" s="148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/>
      <c r="AA300" s="85"/>
      <c r="AB300" s="85"/>
      <c r="AC300" s="85"/>
      <c r="AD300" s="85"/>
      <c r="AE300" s="85"/>
      <c r="AF300" s="85"/>
      <c r="AG300" s="85"/>
      <c r="AH300" s="85"/>
    </row>
    <row r="301" spans="1:34" s="146" customFormat="1" x14ac:dyDescent="0.2">
      <c r="A301" s="145"/>
      <c r="G301" s="148"/>
      <c r="H301" s="148"/>
      <c r="I301" s="148"/>
      <c r="K301" s="148"/>
      <c r="L301" s="148"/>
      <c r="M301" s="148"/>
      <c r="N301" s="85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85"/>
      <c r="AA301" s="85"/>
      <c r="AB301" s="85"/>
      <c r="AC301" s="85"/>
      <c r="AD301" s="85"/>
      <c r="AE301" s="85"/>
      <c r="AF301" s="85"/>
      <c r="AG301" s="85"/>
      <c r="AH301" s="85"/>
    </row>
    <row r="302" spans="1:34" s="146" customFormat="1" x14ac:dyDescent="0.2">
      <c r="A302" s="145"/>
      <c r="G302" s="148"/>
      <c r="H302" s="148"/>
      <c r="I302" s="148"/>
      <c r="K302" s="148"/>
      <c r="L302" s="148"/>
      <c r="M302" s="148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  <c r="AA302" s="85"/>
      <c r="AB302" s="85"/>
      <c r="AC302" s="85"/>
      <c r="AD302" s="85"/>
      <c r="AE302" s="85"/>
      <c r="AF302" s="85"/>
      <c r="AG302" s="85"/>
      <c r="AH302" s="85"/>
    </row>
    <row r="303" spans="1:34" s="146" customFormat="1" x14ac:dyDescent="0.2">
      <c r="A303" s="145"/>
      <c r="G303" s="148"/>
      <c r="H303" s="148"/>
      <c r="I303" s="148"/>
      <c r="K303" s="148"/>
      <c r="L303" s="148"/>
      <c r="M303" s="148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  <c r="AA303" s="85"/>
      <c r="AB303" s="85"/>
      <c r="AC303" s="85"/>
      <c r="AD303" s="85"/>
      <c r="AE303" s="85"/>
      <c r="AF303" s="85"/>
      <c r="AG303" s="85"/>
      <c r="AH303" s="85"/>
    </row>
    <row r="304" spans="1:34" s="146" customFormat="1" x14ac:dyDescent="0.2">
      <c r="A304" s="145"/>
      <c r="G304" s="148"/>
      <c r="H304" s="148"/>
      <c r="I304" s="148"/>
      <c r="K304" s="148"/>
      <c r="L304" s="148"/>
      <c r="M304" s="148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  <c r="AA304" s="85"/>
      <c r="AB304" s="85"/>
      <c r="AC304" s="85"/>
      <c r="AD304" s="85"/>
      <c r="AE304" s="85"/>
      <c r="AF304" s="85"/>
      <c r="AG304" s="85"/>
      <c r="AH304" s="85"/>
    </row>
    <row r="305" spans="1:34" s="146" customFormat="1" x14ac:dyDescent="0.2">
      <c r="A305" s="145"/>
      <c r="G305" s="148"/>
      <c r="H305" s="148"/>
      <c r="I305" s="148"/>
      <c r="K305" s="148"/>
      <c r="L305" s="148"/>
      <c r="M305" s="148"/>
      <c r="N305" s="85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  <c r="Z305" s="85"/>
      <c r="AA305" s="85"/>
      <c r="AB305" s="85"/>
      <c r="AC305" s="85"/>
      <c r="AD305" s="85"/>
      <c r="AE305" s="85"/>
      <c r="AF305" s="85"/>
      <c r="AG305" s="85"/>
      <c r="AH305" s="85"/>
    </row>
    <row r="306" spans="1:34" s="146" customFormat="1" x14ac:dyDescent="0.2">
      <c r="A306" s="145"/>
      <c r="G306" s="148"/>
      <c r="H306" s="148"/>
      <c r="I306" s="148"/>
      <c r="K306" s="148"/>
      <c r="L306" s="148"/>
      <c r="M306" s="148"/>
      <c r="N306" s="85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  <c r="Z306" s="85"/>
      <c r="AA306" s="85"/>
      <c r="AB306" s="85"/>
      <c r="AC306" s="85"/>
      <c r="AD306" s="85"/>
      <c r="AE306" s="85"/>
      <c r="AF306" s="85"/>
      <c r="AG306" s="85"/>
      <c r="AH306" s="85"/>
    </row>
    <row r="307" spans="1:34" s="146" customFormat="1" x14ac:dyDescent="0.2">
      <c r="A307" s="145"/>
      <c r="G307" s="148"/>
      <c r="H307" s="148"/>
      <c r="I307" s="148"/>
      <c r="K307" s="148"/>
      <c r="L307" s="148"/>
      <c r="M307" s="148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/>
      <c r="AA307" s="85"/>
      <c r="AB307" s="85"/>
      <c r="AC307" s="85"/>
      <c r="AD307" s="85"/>
      <c r="AE307" s="85"/>
      <c r="AF307" s="85"/>
      <c r="AG307" s="85"/>
      <c r="AH307" s="85"/>
    </row>
    <row r="308" spans="1:34" s="146" customFormat="1" x14ac:dyDescent="0.2">
      <c r="A308" s="145"/>
      <c r="G308" s="148"/>
      <c r="H308" s="148"/>
      <c r="I308" s="148"/>
      <c r="K308" s="148"/>
      <c r="L308" s="148"/>
      <c r="M308" s="148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/>
      <c r="AA308" s="85"/>
      <c r="AB308" s="85"/>
      <c r="AC308" s="85"/>
      <c r="AD308" s="85"/>
      <c r="AE308" s="85"/>
      <c r="AF308" s="85"/>
      <c r="AG308" s="85"/>
      <c r="AH308" s="85"/>
    </row>
    <row r="309" spans="1:34" s="146" customFormat="1" x14ac:dyDescent="0.2">
      <c r="A309" s="145"/>
      <c r="G309" s="148"/>
      <c r="H309" s="148"/>
      <c r="I309" s="148"/>
      <c r="K309" s="148"/>
      <c r="L309" s="148"/>
      <c r="M309" s="148"/>
      <c r="N309" s="85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  <c r="Z309" s="85"/>
      <c r="AA309" s="85"/>
      <c r="AB309" s="85"/>
      <c r="AC309" s="85"/>
      <c r="AD309" s="85"/>
      <c r="AE309" s="85"/>
      <c r="AF309" s="85"/>
      <c r="AG309" s="85"/>
      <c r="AH309" s="85"/>
    </row>
    <row r="310" spans="1:34" s="146" customFormat="1" x14ac:dyDescent="0.2">
      <c r="A310" s="145"/>
      <c r="G310" s="148"/>
      <c r="H310" s="148"/>
      <c r="I310" s="148"/>
      <c r="K310" s="148"/>
      <c r="L310" s="148"/>
      <c r="M310" s="148"/>
      <c r="N310" s="85"/>
      <c r="O310" s="85"/>
      <c r="P310" s="85"/>
      <c r="Q310" s="85"/>
      <c r="R310" s="85"/>
      <c r="S310" s="85"/>
      <c r="T310" s="85"/>
      <c r="U310" s="85"/>
      <c r="V310" s="85"/>
      <c r="W310" s="85"/>
      <c r="X310" s="85"/>
      <c r="Y310" s="85"/>
      <c r="Z310" s="85"/>
      <c r="AA310" s="85"/>
      <c r="AB310" s="85"/>
      <c r="AC310" s="85"/>
      <c r="AD310" s="85"/>
      <c r="AE310" s="85"/>
      <c r="AF310" s="85"/>
      <c r="AG310" s="85"/>
      <c r="AH310" s="85"/>
    </row>
    <row r="311" spans="1:34" s="146" customFormat="1" x14ac:dyDescent="0.2">
      <c r="A311" s="145"/>
      <c r="G311" s="148"/>
      <c r="H311" s="148"/>
      <c r="I311" s="148"/>
      <c r="K311" s="148"/>
      <c r="L311" s="148"/>
      <c r="M311" s="148"/>
      <c r="N311" s="85"/>
      <c r="O311" s="85"/>
      <c r="P311" s="85"/>
      <c r="Q311" s="85"/>
      <c r="R311" s="85"/>
      <c r="S311" s="85"/>
      <c r="T311" s="85"/>
      <c r="U311" s="85"/>
      <c r="V311" s="85"/>
      <c r="W311" s="85"/>
      <c r="X311" s="85"/>
      <c r="Y311" s="85"/>
      <c r="Z311" s="85"/>
      <c r="AA311" s="85"/>
      <c r="AB311" s="85"/>
      <c r="AC311" s="85"/>
      <c r="AD311" s="85"/>
      <c r="AE311" s="85"/>
      <c r="AF311" s="85"/>
      <c r="AG311" s="85"/>
      <c r="AH311" s="85"/>
    </row>
    <row r="312" spans="1:34" s="146" customFormat="1" x14ac:dyDescent="0.2">
      <c r="A312" s="145"/>
      <c r="G312" s="148"/>
      <c r="H312" s="148"/>
      <c r="I312" s="148"/>
      <c r="K312" s="148"/>
      <c r="L312" s="148"/>
      <c r="M312" s="148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  <c r="AA312" s="85"/>
      <c r="AB312" s="85"/>
      <c r="AC312" s="85"/>
      <c r="AD312" s="85"/>
      <c r="AE312" s="85"/>
      <c r="AF312" s="85"/>
      <c r="AG312" s="85"/>
      <c r="AH312" s="85"/>
    </row>
    <row r="313" spans="1:34" s="146" customFormat="1" x14ac:dyDescent="0.2">
      <c r="A313" s="145"/>
      <c r="G313" s="148"/>
      <c r="H313" s="148"/>
      <c r="I313" s="148"/>
      <c r="K313" s="148"/>
      <c r="L313" s="148"/>
      <c r="M313" s="148"/>
      <c r="N313" s="85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  <c r="Z313" s="85"/>
      <c r="AA313" s="85"/>
      <c r="AB313" s="85"/>
      <c r="AC313" s="85"/>
      <c r="AD313" s="85"/>
      <c r="AE313" s="85"/>
      <c r="AF313" s="85"/>
      <c r="AG313" s="85"/>
      <c r="AH313" s="85"/>
    </row>
    <row r="314" spans="1:34" s="146" customFormat="1" x14ac:dyDescent="0.2">
      <c r="A314" s="145"/>
      <c r="G314" s="148"/>
      <c r="H314" s="148"/>
      <c r="I314" s="148"/>
      <c r="K314" s="148"/>
      <c r="L314" s="148"/>
      <c r="M314" s="148"/>
      <c r="N314" s="85"/>
      <c r="O314" s="85"/>
      <c r="P314" s="85"/>
      <c r="Q314" s="85"/>
      <c r="R314" s="85"/>
      <c r="S314" s="85"/>
      <c r="T314" s="85"/>
      <c r="U314" s="85"/>
      <c r="V314" s="85"/>
      <c r="W314" s="85"/>
      <c r="X314" s="85"/>
      <c r="Y314" s="85"/>
      <c r="Z314" s="85"/>
      <c r="AA314" s="85"/>
      <c r="AB314" s="85"/>
      <c r="AC314" s="85"/>
      <c r="AD314" s="85"/>
      <c r="AE314" s="85"/>
      <c r="AF314" s="85"/>
      <c r="AG314" s="85"/>
      <c r="AH314" s="85"/>
    </row>
    <row r="315" spans="1:34" s="146" customFormat="1" x14ac:dyDescent="0.2">
      <c r="A315" s="145"/>
      <c r="G315" s="148"/>
      <c r="H315" s="148"/>
      <c r="I315" s="148"/>
      <c r="K315" s="148"/>
      <c r="L315" s="148"/>
      <c r="M315" s="148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/>
      <c r="AA315" s="85"/>
      <c r="AB315" s="85"/>
      <c r="AC315" s="85"/>
      <c r="AD315" s="85"/>
      <c r="AE315" s="85"/>
      <c r="AF315" s="85"/>
      <c r="AG315" s="85"/>
      <c r="AH315" s="85"/>
    </row>
    <row r="316" spans="1:34" s="146" customFormat="1" x14ac:dyDescent="0.2">
      <c r="A316" s="145"/>
      <c r="G316" s="148"/>
      <c r="H316" s="148"/>
      <c r="I316" s="148"/>
      <c r="K316" s="148"/>
      <c r="L316" s="148"/>
      <c r="M316" s="148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85"/>
      <c r="AA316" s="85"/>
      <c r="AB316" s="85"/>
      <c r="AC316" s="85"/>
      <c r="AD316" s="85"/>
      <c r="AE316" s="85"/>
      <c r="AF316" s="85"/>
      <c r="AG316" s="85"/>
      <c r="AH316" s="85"/>
    </row>
    <row r="317" spans="1:34" s="146" customFormat="1" x14ac:dyDescent="0.2">
      <c r="A317" s="145"/>
      <c r="G317" s="148"/>
      <c r="H317" s="148"/>
      <c r="I317" s="148"/>
      <c r="K317" s="148"/>
      <c r="L317" s="148"/>
      <c r="M317" s="148"/>
      <c r="N317" s="85"/>
      <c r="O317" s="85"/>
      <c r="P317" s="85"/>
      <c r="Q317" s="85"/>
      <c r="R317" s="85"/>
      <c r="S317" s="85"/>
      <c r="T317" s="85"/>
      <c r="U317" s="85"/>
      <c r="V317" s="85"/>
      <c r="W317" s="85"/>
      <c r="X317" s="85"/>
      <c r="Y317" s="85"/>
      <c r="Z317" s="85"/>
      <c r="AA317" s="85"/>
      <c r="AB317" s="85"/>
      <c r="AC317" s="85"/>
      <c r="AD317" s="85"/>
      <c r="AE317" s="85"/>
      <c r="AF317" s="85"/>
      <c r="AG317" s="85"/>
      <c r="AH317" s="85"/>
    </row>
    <row r="318" spans="1:34" s="146" customFormat="1" x14ac:dyDescent="0.2">
      <c r="A318" s="145"/>
      <c r="G318" s="148"/>
      <c r="H318" s="148"/>
      <c r="I318" s="148"/>
      <c r="K318" s="148"/>
      <c r="L318" s="148"/>
      <c r="M318" s="148"/>
      <c r="N318" s="85"/>
      <c r="O318" s="85"/>
      <c r="P318" s="85"/>
      <c r="Q318" s="85"/>
      <c r="R318" s="85"/>
      <c r="S318" s="85"/>
      <c r="T318" s="85"/>
      <c r="U318" s="85"/>
      <c r="V318" s="85"/>
      <c r="W318" s="85"/>
      <c r="X318" s="85"/>
      <c r="Y318" s="85"/>
      <c r="Z318" s="85"/>
      <c r="AA318" s="85"/>
      <c r="AB318" s="85"/>
      <c r="AC318" s="85"/>
      <c r="AD318" s="85"/>
      <c r="AE318" s="85"/>
      <c r="AF318" s="85"/>
      <c r="AG318" s="85"/>
      <c r="AH318" s="85"/>
    </row>
    <row r="319" spans="1:34" s="146" customFormat="1" x14ac:dyDescent="0.2">
      <c r="A319" s="145"/>
      <c r="G319" s="148"/>
      <c r="H319" s="148"/>
      <c r="I319" s="148"/>
      <c r="K319" s="148"/>
      <c r="L319" s="148"/>
      <c r="M319" s="148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  <c r="Z319" s="85"/>
      <c r="AA319" s="85"/>
      <c r="AB319" s="85"/>
      <c r="AC319" s="85"/>
      <c r="AD319" s="85"/>
      <c r="AE319" s="85"/>
      <c r="AF319" s="85"/>
      <c r="AG319" s="85"/>
      <c r="AH319" s="85"/>
    </row>
    <row r="320" spans="1:34" s="146" customFormat="1" x14ac:dyDescent="0.2">
      <c r="A320" s="145"/>
      <c r="G320" s="148"/>
      <c r="H320" s="148"/>
      <c r="I320" s="148"/>
      <c r="K320" s="148"/>
      <c r="L320" s="148"/>
      <c r="M320" s="148"/>
      <c r="N320" s="85"/>
      <c r="O320" s="85"/>
      <c r="P320" s="85"/>
      <c r="Q320" s="85"/>
      <c r="R320" s="85"/>
      <c r="S320" s="85"/>
      <c r="T320" s="85"/>
      <c r="U320" s="85"/>
      <c r="V320" s="85"/>
      <c r="W320" s="85"/>
      <c r="X320" s="85"/>
      <c r="Y320" s="85"/>
      <c r="Z320" s="85"/>
      <c r="AA320" s="85"/>
      <c r="AB320" s="85"/>
      <c r="AC320" s="85"/>
      <c r="AD320" s="85"/>
      <c r="AE320" s="85"/>
      <c r="AF320" s="85"/>
      <c r="AG320" s="85"/>
      <c r="AH320" s="85"/>
    </row>
  </sheetData>
  <mergeCells count="3">
    <mergeCell ref="M5:M6"/>
    <mergeCell ref="L7:L8"/>
    <mergeCell ref="M3:M4"/>
  </mergeCells>
  <conditionalFormatting sqref="A10:A38 A60">
    <cfRule type="duplicateValues" dxfId="27" priority="73"/>
  </conditionalFormatting>
  <conditionalFormatting sqref="A10:A41 A60">
    <cfRule type="duplicateValues" dxfId="26" priority="81"/>
  </conditionalFormatting>
  <conditionalFormatting sqref="A10:A56 A60">
    <cfRule type="duplicateValues" dxfId="25" priority="82"/>
  </conditionalFormatting>
  <conditionalFormatting sqref="A9">
    <cfRule type="duplicateValues" dxfId="24" priority="1"/>
  </conditionalFormatting>
  <conditionalFormatting sqref="A9">
    <cfRule type="duplicateValues" dxfId="23" priority="2"/>
  </conditionalFormatting>
  <conditionalFormatting sqref="A9">
    <cfRule type="duplicateValues" dxfId="22" priority="3"/>
  </conditionalFormatting>
  <printOptions horizontalCentered="1" verticalCentered="1"/>
  <pageMargins left="0.7" right="0.7" top="0.75" bottom="0.75" header="0.3" footer="0.3"/>
  <pageSetup paperSize="3" scale="70" orientation="landscape" r:id="rId1"/>
  <headerFooter alignWithMargins="0"/>
  <ignoredErrors>
    <ignoredError sqref="F4:F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Q14"/>
  <sheetViews>
    <sheetView showGridLines="0" zoomScale="70" zoomScaleNormal="70" workbookViewId="0">
      <selection activeCell="B3" sqref="B3:G4"/>
    </sheetView>
  </sheetViews>
  <sheetFormatPr defaultRowHeight="15" x14ac:dyDescent="0.25"/>
  <cols>
    <col min="1" max="1" width="46.85546875" customWidth="1"/>
    <col min="2" max="2" width="32.140625" customWidth="1"/>
    <col min="3" max="3" width="16.85546875" customWidth="1"/>
    <col min="4" max="5" width="15" customWidth="1"/>
    <col min="6" max="6" width="9.140625" customWidth="1"/>
    <col min="7" max="7" width="11.42578125"/>
    <col min="8" max="8" width="9.140625" customWidth="1"/>
    <col min="9" max="9" width="11.85546875" customWidth="1"/>
    <col min="10" max="10" width="7.42578125" customWidth="1"/>
    <col min="11" max="1025" width="9.140625" customWidth="1"/>
  </cols>
  <sheetData>
    <row r="1" spans="1:17" ht="16.7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6.7" customHeight="1" x14ac:dyDescent="0.25">
      <c r="A2" s="2"/>
      <c r="B2" s="153"/>
      <c r="C2" s="400"/>
      <c r="D2" s="165"/>
      <c r="E2" s="171"/>
      <c r="F2" s="171"/>
      <c r="G2" s="17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6.7" customHeight="1" x14ac:dyDescent="0.25">
      <c r="B3" s="609" t="s">
        <v>0</v>
      </c>
      <c r="C3" s="609"/>
      <c r="D3" s="609"/>
      <c r="E3" s="609"/>
      <c r="F3" s="609"/>
      <c r="G3" s="609"/>
      <c r="H3" s="4"/>
      <c r="I3" s="4"/>
      <c r="J3" s="4"/>
      <c r="K3" s="1"/>
      <c r="L3" s="1"/>
      <c r="M3" s="1"/>
      <c r="N3" s="1"/>
      <c r="O3" s="1"/>
      <c r="P3" s="1"/>
      <c r="Q3" s="1"/>
    </row>
    <row r="4" spans="1:17" ht="16.7" customHeight="1" x14ac:dyDescent="0.25">
      <c r="B4" s="610" t="s">
        <v>1</v>
      </c>
      <c r="C4" s="610"/>
      <c r="D4" s="610"/>
      <c r="E4" s="610"/>
      <c r="F4" s="610"/>
      <c r="G4" s="610"/>
      <c r="H4" s="5"/>
      <c r="I4" s="5"/>
      <c r="J4" s="4"/>
      <c r="K4" s="1"/>
      <c r="L4" s="1"/>
      <c r="M4" s="1"/>
      <c r="N4" s="1"/>
      <c r="O4" s="1"/>
      <c r="P4" s="1"/>
      <c r="Q4" s="1"/>
    </row>
    <row r="5" spans="1:17" ht="16.7" customHeight="1" x14ac:dyDescent="0.25">
      <c r="B5" s="172"/>
      <c r="C5" s="172"/>
      <c r="D5" s="172"/>
      <c r="E5" s="172"/>
      <c r="F5" s="172"/>
      <c r="G5" s="172"/>
    </row>
    <row r="6" spans="1:17" ht="16.7" customHeight="1" x14ac:dyDescent="0.25">
      <c r="B6" s="172"/>
      <c r="C6" s="172"/>
      <c r="D6" s="172"/>
      <c r="E6" s="172"/>
      <c r="F6" s="172"/>
      <c r="G6" s="172"/>
    </row>
    <row r="7" spans="1:17" ht="16.7" customHeight="1" x14ac:dyDescent="0.25"/>
    <row r="8" spans="1:17" ht="16.7" customHeight="1" x14ac:dyDescent="0.25"/>
    <row r="9" spans="1:17" ht="16.7" customHeight="1" x14ac:dyDescent="0.25"/>
    <row r="10" spans="1:17" ht="16.7" customHeight="1" x14ac:dyDescent="0.25"/>
    <row r="11" spans="1:17" ht="16.7" customHeight="1" x14ac:dyDescent="0.25"/>
    <row r="12" spans="1:17" ht="16.7" customHeight="1" x14ac:dyDescent="0.25"/>
    <row r="13" spans="1:17" ht="16.7" customHeight="1" x14ac:dyDescent="0.25"/>
    <row r="14" spans="1:17" ht="16.7" customHeight="1" x14ac:dyDescent="0.25"/>
  </sheetData>
  <mergeCells count="2">
    <mergeCell ref="B3:G3"/>
    <mergeCell ref="B4:G4"/>
  </mergeCells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1DE87-38B0-4CB5-AC18-DDD5EAB40BD2}">
  <dimension ref="A1:F17"/>
  <sheetViews>
    <sheetView showGridLines="0" workbookViewId="0">
      <selection activeCell="C5" sqref="C5"/>
    </sheetView>
  </sheetViews>
  <sheetFormatPr defaultRowHeight="15" x14ac:dyDescent="0.25"/>
  <cols>
    <col min="1" max="1" width="11.28515625" customWidth="1"/>
    <col min="2" max="2" width="5.7109375" customWidth="1"/>
    <col min="4" max="4" width="46.42578125" customWidth="1"/>
  </cols>
  <sheetData>
    <row r="1" spans="1:6" x14ac:dyDescent="0.25">
      <c r="A1" s="611" t="s">
        <v>371</v>
      </c>
      <c r="B1" s="611"/>
      <c r="C1" s="611"/>
      <c r="D1" s="611"/>
    </row>
    <row r="2" spans="1:6" x14ac:dyDescent="0.25">
      <c r="A2" s="156"/>
      <c r="B2" s="157"/>
      <c r="C2" s="318">
        <v>204.011</v>
      </c>
      <c r="D2" s="171"/>
    </row>
    <row r="3" spans="1:6" ht="15.75" thickBot="1" x14ac:dyDescent="0.3">
      <c r="A3" s="191" t="s">
        <v>174</v>
      </c>
      <c r="B3" s="192"/>
      <c r="C3" s="337" t="s">
        <v>10</v>
      </c>
      <c r="D3" s="191" t="s">
        <v>5</v>
      </c>
    </row>
    <row r="4" spans="1:6" ht="15.75" thickTop="1" x14ac:dyDescent="0.25">
      <c r="A4" s="159"/>
      <c r="B4" s="458"/>
      <c r="C4" s="331"/>
      <c r="D4" s="1"/>
      <c r="F4" t="s">
        <v>375</v>
      </c>
    </row>
    <row r="5" spans="1:6" ht="18" customHeight="1" x14ac:dyDescent="0.25">
      <c r="A5" s="159" t="s">
        <v>108</v>
      </c>
      <c r="B5" s="458"/>
      <c r="C5" s="168">
        <v>773</v>
      </c>
      <c r="D5" s="555" t="s">
        <v>372</v>
      </c>
      <c r="F5" s="168">
        <f>200*2000/115/4.5</f>
        <v>772.94685990338166</v>
      </c>
    </row>
    <row r="7" spans="1:6" x14ac:dyDescent="0.25">
      <c r="A7" s="410" t="s">
        <v>163</v>
      </c>
      <c r="B7" s="419"/>
      <c r="C7" s="556">
        <f>SUM(C5)</f>
        <v>773</v>
      </c>
      <c r="D7" s="416"/>
    </row>
    <row r="8" spans="1:6" x14ac:dyDescent="0.25">
      <c r="A8" s="159"/>
      <c r="B8" s="458"/>
      <c r="C8" s="331"/>
      <c r="D8" s="171"/>
    </row>
    <row r="9" spans="1:6" x14ac:dyDescent="0.25">
      <c r="A9" s="543"/>
      <c r="B9" s="544"/>
      <c r="C9" s="331"/>
      <c r="D9" s="543"/>
    </row>
    <row r="10" spans="1:6" x14ac:dyDescent="0.25">
      <c r="A10" s="543"/>
      <c r="B10" s="544"/>
      <c r="C10" s="331"/>
      <c r="D10" s="1"/>
    </row>
    <row r="11" spans="1:6" x14ac:dyDescent="0.25">
      <c r="A11" s="543"/>
      <c r="B11" s="544"/>
      <c r="C11" s="331"/>
      <c r="D11" s="1"/>
    </row>
    <row r="12" spans="1:6" x14ac:dyDescent="0.25">
      <c r="A12" s="543"/>
      <c r="B12" s="544"/>
      <c r="C12" s="331"/>
      <c r="D12" s="1"/>
    </row>
    <row r="13" spans="1:6" x14ac:dyDescent="0.25">
      <c r="A13" s="543"/>
      <c r="B13" s="544"/>
      <c r="C13" s="331"/>
      <c r="D13" s="1"/>
    </row>
    <row r="14" spans="1:6" x14ac:dyDescent="0.25">
      <c r="A14" s="543"/>
      <c r="B14" s="544"/>
      <c r="C14" s="331"/>
      <c r="D14" s="1"/>
    </row>
    <row r="15" spans="1:6" x14ac:dyDescent="0.25">
      <c r="A15" s="543"/>
      <c r="B15" s="544"/>
      <c r="C15" s="331"/>
      <c r="D15" s="1"/>
    </row>
    <row r="16" spans="1:6" x14ac:dyDescent="0.25">
      <c r="A16" s="543"/>
      <c r="B16" s="544"/>
      <c r="C16" s="331"/>
      <c r="D16" s="1"/>
    </row>
    <row r="17" spans="1:4" x14ac:dyDescent="0.25">
      <c r="A17" s="159"/>
      <c r="B17" s="544"/>
      <c r="C17" s="331"/>
      <c r="D17" s="1"/>
    </row>
  </sheetData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W24"/>
  <sheetViews>
    <sheetView showGridLines="0" zoomScale="90" zoomScaleNormal="90" workbookViewId="0">
      <selection activeCell="E36" sqref="E36"/>
    </sheetView>
  </sheetViews>
  <sheetFormatPr defaultRowHeight="15" x14ac:dyDescent="0.25"/>
  <cols>
    <col min="1" max="1" width="22.85546875" customWidth="1"/>
    <col min="2" max="2" width="22.85546875" style="75" customWidth="1"/>
    <col min="3" max="3" width="16.28515625" style="74" customWidth="1"/>
    <col min="4" max="4" width="33.7109375" style="1" hidden="1" customWidth="1"/>
    <col min="5" max="9" width="9.140625" customWidth="1"/>
    <col min="10" max="10" width="23.140625" customWidth="1"/>
    <col min="11" max="11" width="15.140625" customWidth="1"/>
    <col min="12" max="12" width="17.85546875" customWidth="1"/>
    <col min="13" max="13" width="15.7109375" customWidth="1"/>
    <col min="14" max="1025" width="9.140625" customWidth="1"/>
  </cols>
  <sheetData>
    <row r="1" spans="1:23" ht="15" customHeight="1" x14ac:dyDescent="0.25">
      <c r="A1" s="62"/>
      <c r="B1" s="322"/>
      <c r="C1" s="336"/>
    </row>
    <row r="2" spans="1:23" ht="15" customHeight="1" x14ac:dyDescent="0.25">
      <c r="A2" s="611" t="s">
        <v>103</v>
      </c>
      <c r="B2" s="611"/>
      <c r="C2" s="611"/>
      <c r="D2" s="611"/>
    </row>
    <row r="3" spans="1:23" ht="15" customHeight="1" x14ac:dyDescent="0.3">
      <c r="A3" s="156"/>
      <c r="B3" s="157"/>
      <c r="C3" s="318">
        <v>204.01150000000001</v>
      </c>
      <c r="D3" s="171"/>
      <c r="E3" s="28"/>
      <c r="F3" s="28"/>
    </row>
    <row r="4" spans="1:23" ht="15" customHeight="1" thickBot="1" x14ac:dyDescent="0.35">
      <c r="A4" s="191" t="s">
        <v>174</v>
      </c>
      <c r="B4" s="192" t="s">
        <v>9</v>
      </c>
      <c r="C4" s="337" t="s">
        <v>10</v>
      </c>
      <c r="D4" s="191" t="s">
        <v>5</v>
      </c>
      <c r="E4" s="28"/>
      <c r="F4" s="28"/>
    </row>
    <row r="5" spans="1:23" ht="15" customHeight="1" thickTop="1" x14ac:dyDescent="0.3">
      <c r="A5" s="159"/>
      <c r="B5" s="276"/>
      <c r="C5" s="331"/>
      <c r="E5" s="28"/>
      <c r="F5" s="28"/>
      <c r="K5" s="75"/>
      <c r="L5" s="75"/>
      <c r="M5" s="74"/>
      <c r="N5" s="1"/>
    </row>
    <row r="6" spans="1:23" ht="15" customHeight="1" x14ac:dyDescent="0.3">
      <c r="A6" s="327" t="s">
        <v>108</v>
      </c>
      <c r="B6" s="325"/>
      <c r="C6" s="326"/>
      <c r="D6" s="324"/>
      <c r="E6" s="28"/>
      <c r="F6" s="28"/>
      <c r="K6" s="75" t="s">
        <v>242</v>
      </c>
      <c r="L6" s="75" t="s">
        <v>243</v>
      </c>
      <c r="M6" s="74" t="s">
        <v>241</v>
      </c>
      <c r="N6" s="25" t="s">
        <v>72</v>
      </c>
      <c r="O6" s="75" t="s">
        <v>10</v>
      </c>
    </row>
    <row r="7" spans="1:23" ht="15" customHeight="1" x14ac:dyDescent="0.3">
      <c r="A7" s="159" t="s">
        <v>237</v>
      </c>
      <c r="B7" s="276" t="s">
        <v>239</v>
      </c>
      <c r="C7" s="331">
        <v>33.299999999999997</v>
      </c>
      <c r="D7" s="168"/>
      <c r="E7" s="23"/>
      <c r="F7" s="23"/>
      <c r="G7" s="1"/>
      <c r="H7" s="1"/>
      <c r="I7" s="1"/>
      <c r="J7" t="s">
        <v>108</v>
      </c>
      <c r="K7" s="75" t="s">
        <v>227</v>
      </c>
      <c r="L7" s="75"/>
      <c r="M7" s="74" t="s">
        <v>227</v>
      </c>
      <c r="N7" s="25" t="s">
        <v>227</v>
      </c>
      <c r="O7" s="75" t="s">
        <v>227</v>
      </c>
      <c r="Q7" s="1"/>
      <c r="R7" s="1"/>
      <c r="S7" s="1"/>
      <c r="T7" s="1"/>
      <c r="U7" s="1"/>
      <c r="V7" s="1"/>
      <c r="W7" s="1"/>
    </row>
    <row r="8" spans="1:23" ht="15" customHeight="1" x14ac:dyDescent="0.3">
      <c r="A8" s="159" t="s">
        <v>238</v>
      </c>
      <c r="B8" s="276" t="s">
        <v>240</v>
      </c>
      <c r="C8" s="331">
        <v>33.299999999999997</v>
      </c>
      <c r="D8" s="168"/>
      <c r="E8" s="23"/>
      <c r="F8" s="23"/>
      <c r="G8" s="1"/>
      <c r="H8" s="1"/>
      <c r="I8" s="1"/>
      <c r="J8" s="159" t="s">
        <v>237</v>
      </c>
      <c r="K8" s="75">
        <v>30</v>
      </c>
      <c r="L8" s="75">
        <v>30</v>
      </c>
      <c r="M8" s="74">
        <v>10</v>
      </c>
      <c r="N8" s="25">
        <f t="shared" ref="N8:N18" si="0">SUM(K8+L8)*0.5*M8</f>
        <v>300</v>
      </c>
      <c r="O8" s="334">
        <f>SUM(N8)/9</f>
        <v>33.333333333333336</v>
      </c>
      <c r="Q8" s="1"/>
      <c r="R8" s="1"/>
      <c r="S8" s="1"/>
      <c r="T8" s="1"/>
      <c r="U8" s="1"/>
      <c r="V8" s="1"/>
      <c r="W8" s="1"/>
    </row>
    <row r="9" spans="1:23" ht="15" customHeight="1" x14ac:dyDescent="0.3">
      <c r="A9" s="159"/>
      <c r="B9" s="157"/>
      <c r="C9" s="331" t="s">
        <v>227</v>
      </c>
      <c r="D9" s="171"/>
      <c r="E9" s="28"/>
      <c r="F9" s="28"/>
      <c r="J9" s="159" t="s">
        <v>238</v>
      </c>
      <c r="K9" s="75">
        <v>30</v>
      </c>
      <c r="L9" s="75">
        <v>30</v>
      </c>
      <c r="M9" s="74">
        <v>10</v>
      </c>
      <c r="N9" s="25">
        <f t="shared" si="0"/>
        <v>300</v>
      </c>
      <c r="O9" s="334">
        <f t="shared" ref="O9:O18" si="1">SUM(N9)/9</f>
        <v>33.333333333333336</v>
      </c>
    </row>
    <row r="10" spans="1:23" ht="15" customHeight="1" x14ac:dyDescent="0.25">
      <c r="A10" s="324" t="s">
        <v>109</v>
      </c>
      <c r="B10" s="73"/>
      <c r="C10" s="326" t="s">
        <v>227</v>
      </c>
      <c r="D10" s="324"/>
      <c r="J10" s="159"/>
      <c r="K10" s="75"/>
      <c r="L10" s="75"/>
      <c r="M10" s="74"/>
      <c r="N10" s="25" t="s">
        <v>227</v>
      </c>
      <c r="O10" s="334" t="s">
        <v>227</v>
      </c>
    </row>
    <row r="11" spans="1:23" ht="15" customHeight="1" x14ac:dyDescent="0.25">
      <c r="A11" s="156" t="s">
        <v>222</v>
      </c>
      <c r="C11" s="331">
        <v>14</v>
      </c>
      <c r="J11" s="324" t="s">
        <v>109</v>
      </c>
      <c r="K11" s="75"/>
      <c r="L11" s="75"/>
      <c r="M11" s="74"/>
      <c r="N11" s="25" t="s">
        <v>227</v>
      </c>
      <c r="O11" s="334" t="s">
        <v>227</v>
      </c>
    </row>
    <row r="12" spans="1:23" ht="15" customHeight="1" x14ac:dyDescent="0.25">
      <c r="A12" s="156" t="s">
        <v>223</v>
      </c>
      <c r="C12" s="331">
        <v>18</v>
      </c>
      <c r="J12" s="156" t="s">
        <v>222</v>
      </c>
      <c r="K12" s="75">
        <v>24</v>
      </c>
      <c r="L12" s="75">
        <v>24</v>
      </c>
      <c r="M12" s="74">
        <v>10</v>
      </c>
      <c r="N12" s="25">
        <f>SUM(K12+L12)*0.5*M12</f>
        <v>240</v>
      </c>
      <c r="O12" s="334">
        <f t="shared" si="1"/>
        <v>26.666666666666668</v>
      </c>
    </row>
    <row r="13" spans="1:23" ht="15" customHeight="1" x14ac:dyDescent="0.25">
      <c r="A13" s="156" t="s">
        <v>226</v>
      </c>
      <c r="C13" s="331">
        <v>15</v>
      </c>
      <c r="J13" s="156" t="s">
        <v>223</v>
      </c>
      <c r="K13" s="75">
        <v>30</v>
      </c>
      <c r="L13" s="75">
        <v>34</v>
      </c>
      <c r="M13" s="74">
        <v>10</v>
      </c>
      <c r="N13" s="25">
        <f t="shared" si="0"/>
        <v>320</v>
      </c>
      <c r="O13" s="334">
        <f t="shared" si="1"/>
        <v>35.555555555555557</v>
      </c>
    </row>
    <row r="14" spans="1:23" ht="15" customHeight="1" x14ac:dyDescent="0.25">
      <c r="A14" s="156" t="s">
        <v>224</v>
      </c>
      <c r="C14" s="331">
        <v>16</v>
      </c>
      <c r="J14" s="156" t="s">
        <v>226</v>
      </c>
      <c r="K14" s="75">
        <v>26</v>
      </c>
      <c r="L14" s="75">
        <v>28</v>
      </c>
      <c r="M14" s="74">
        <v>10</v>
      </c>
      <c r="N14" s="25">
        <f t="shared" si="0"/>
        <v>270</v>
      </c>
      <c r="O14" s="334">
        <f t="shared" si="1"/>
        <v>30</v>
      </c>
    </row>
    <row r="15" spans="1:23" ht="15" customHeight="1" x14ac:dyDescent="0.25">
      <c r="A15" s="156" t="s">
        <v>228</v>
      </c>
      <c r="C15" s="331">
        <v>15</v>
      </c>
      <c r="J15" s="156" t="s">
        <v>224</v>
      </c>
      <c r="K15" s="75">
        <v>26</v>
      </c>
      <c r="L15" s="75">
        <v>30</v>
      </c>
      <c r="M15" s="74">
        <v>10</v>
      </c>
      <c r="N15" s="25">
        <f t="shared" si="0"/>
        <v>280</v>
      </c>
      <c r="O15" s="334">
        <f t="shared" si="1"/>
        <v>31.111111111111111</v>
      </c>
    </row>
    <row r="16" spans="1:23" ht="15" customHeight="1" x14ac:dyDescent="0.25">
      <c r="A16" s="156" t="s">
        <v>229</v>
      </c>
      <c r="C16" s="331">
        <v>14</v>
      </c>
      <c r="J16" s="156" t="s">
        <v>228</v>
      </c>
      <c r="K16" s="75">
        <v>27</v>
      </c>
      <c r="L16" s="75">
        <v>25</v>
      </c>
      <c r="M16" s="74">
        <v>10</v>
      </c>
      <c r="N16" s="25">
        <f t="shared" si="0"/>
        <v>260</v>
      </c>
      <c r="O16" s="334">
        <f t="shared" si="1"/>
        <v>28.888888888888889</v>
      </c>
    </row>
    <row r="17" spans="1:15" ht="15" customHeight="1" x14ac:dyDescent="0.25">
      <c r="A17" s="324" t="s">
        <v>225</v>
      </c>
      <c r="B17" s="73"/>
      <c r="C17" s="326">
        <v>17</v>
      </c>
      <c r="D17" s="22"/>
      <c r="J17" s="156" t="s">
        <v>229</v>
      </c>
      <c r="K17" s="75">
        <v>23</v>
      </c>
      <c r="L17" s="75">
        <v>26</v>
      </c>
      <c r="M17" s="74">
        <v>10</v>
      </c>
      <c r="N17" s="25">
        <f t="shared" si="0"/>
        <v>245</v>
      </c>
      <c r="O17" s="334">
        <f t="shared" si="1"/>
        <v>27.222222222222221</v>
      </c>
    </row>
    <row r="18" spans="1:15" ht="15" customHeight="1" thickBot="1" x14ac:dyDescent="0.3">
      <c r="A18" s="162" t="s">
        <v>163</v>
      </c>
      <c r="C18" s="331">
        <f>SUM(C7:C17)</f>
        <v>175.6</v>
      </c>
      <c r="J18" s="167" t="s">
        <v>225</v>
      </c>
      <c r="K18" s="332">
        <v>29</v>
      </c>
      <c r="L18" s="332">
        <v>31</v>
      </c>
      <c r="M18" s="338">
        <v>10</v>
      </c>
      <c r="N18" s="332">
        <f t="shared" si="0"/>
        <v>300</v>
      </c>
      <c r="O18" s="335">
        <f t="shared" si="1"/>
        <v>33.333333333333336</v>
      </c>
    </row>
    <row r="19" spans="1:15" ht="15.75" thickTop="1" x14ac:dyDescent="0.25">
      <c r="K19" s="75"/>
      <c r="L19" s="75"/>
      <c r="M19" s="74"/>
      <c r="N19" s="25" t="s">
        <v>227</v>
      </c>
      <c r="O19" s="334">
        <f>SUM(O8:O18)</f>
        <v>279.44444444444446</v>
      </c>
    </row>
    <row r="23" spans="1:15" x14ac:dyDescent="0.25">
      <c r="A23" t="s">
        <v>235</v>
      </c>
    </row>
    <row r="24" spans="1:15" x14ac:dyDescent="0.25">
      <c r="A24" t="s">
        <v>221</v>
      </c>
    </row>
  </sheetData>
  <mergeCells count="1">
    <mergeCell ref="A2:D2"/>
  </mergeCells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S101"/>
  <sheetViews>
    <sheetView showGridLines="0" zoomScaleNormal="100" workbookViewId="0">
      <selection activeCell="A2" sqref="A2:E22"/>
    </sheetView>
  </sheetViews>
  <sheetFormatPr defaultRowHeight="15" x14ac:dyDescent="0.25"/>
  <cols>
    <col min="1" max="1" width="23.7109375" customWidth="1"/>
    <col min="2" max="2" width="20.140625" style="75" customWidth="1"/>
    <col min="3" max="3" width="14.5703125" customWidth="1"/>
    <col min="4" max="4" width="17.85546875" customWidth="1"/>
    <col min="5" max="5" width="18.5703125" style="1" customWidth="1"/>
    <col min="6" max="6" width="20.28515625" customWidth="1"/>
    <col min="7" max="7" width="23.7109375" customWidth="1"/>
    <col min="8" max="8" width="27.7109375" customWidth="1"/>
    <col min="9" max="1026" width="8.7109375" customWidth="1"/>
  </cols>
  <sheetData>
    <row r="1" spans="1:19" ht="15" customHeight="1" x14ac:dyDescent="0.25">
      <c r="M1" s="1"/>
    </row>
    <row r="2" spans="1:19" ht="15" customHeight="1" x14ac:dyDescent="0.25">
      <c r="A2" s="611" t="s">
        <v>12</v>
      </c>
      <c r="B2" s="611"/>
      <c r="C2" s="611"/>
      <c r="D2" s="611"/>
      <c r="E2" s="390"/>
      <c r="I2" s="611" t="s">
        <v>12</v>
      </c>
      <c r="J2" s="611"/>
      <c r="K2" s="611"/>
      <c r="L2" s="611"/>
      <c r="M2" s="27"/>
      <c r="O2" s="62"/>
      <c r="P2" s="322"/>
      <c r="Q2" s="322"/>
      <c r="R2" s="336"/>
      <c r="S2" s="1"/>
    </row>
    <row r="3" spans="1:19" ht="15" customHeight="1" x14ac:dyDescent="0.25">
      <c r="A3" s="156"/>
      <c r="B3" s="157"/>
      <c r="C3" s="156"/>
      <c r="D3" s="171"/>
      <c r="E3"/>
      <c r="I3" s="156"/>
      <c r="J3" s="156"/>
      <c r="K3" s="156"/>
      <c r="L3" s="170"/>
      <c r="M3" s="171"/>
      <c r="O3" s="611" t="s">
        <v>103</v>
      </c>
      <c r="P3" s="611"/>
      <c r="Q3" s="611"/>
      <c r="R3" s="611"/>
      <c r="S3" s="611"/>
    </row>
    <row r="4" spans="1:19" ht="15" customHeight="1" x14ac:dyDescent="0.25">
      <c r="A4" s="156"/>
      <c r="B4" s="157"/>
      <c r="C4" s="156"/>
      <c r="D4" s="318">
        <v>204.012</v>
      </c>
      <c r="E4" s="171"/>
      <c r="I4" s="156"/>
      <c r="J4" s="156"/>
      <c r="K4" s="156"/>
      <c r="L4" s="318">
        <v>204.012</v>
      </c>
      <c r="M4" s="171"/>
      <c r="O4" s="156"/>
      <c r="P4" s="157"/>
      <c r="Q4" s="157"/>
      <c r="R4" s="321"/>
      <c r="S4" s="171"/>
    </row>
    <row r="5" spans="1:19" ht="15" customHeight="1" thickBot="1" x14ac:dyDescent="0.3">
      <c r="A5" s="191" t="s">
        <v>174</v>
      </c>
      <c r="B5" s="192" t="s">
        <v>9</v>
      </c>
      <c r="C5" s="192" t="s">
        <v>3</v>
      </c>
      <c r="D5" s="319" t="s">
        <v>10</v>
      </c>
      <c r="E5" s="218" t="s">
        <v>5</v>
      </c>
      <c r="I5" s="191" t="s">
        <v>174</v>
      </c>
      <c r="J5" s="191" t="s">
        <v>9</v>
      </c>
      <c r="K5" s="192" t="s">
        <v>3</v>
      </c>
      <c r="L5" s="319" t="s">
        <v>10</v>
      </c>
      <c r="M5" s="191" t="s">
        <v>5</v>
      </c>
      <c r="O5" s="191" t="s">
        <v>174</v>
      </c>
      <c r="P5" s="192" t="s">
        <v>9</v>
      </c>
      <c r="Q5" s="192"/>
      <c r="R5" s="337" t="s">
        <v>10</v>
      </c>
      <c r="S5" s="191" t="s">
        <v>5</v>
      </c>
    </row>
    <row r="6" spans="1:19" ht="15" customHeight="1" thickTop="1" x14ac:dyDescent="0.25">
      <c r="A6" s="159"/>
      <c r="B6" s="407"/>
      <c r="C6" s="276"/>
      <c r="D6" s="320"/>
      <c r="E6" s="159"/>
      <c r="I6" s="159"/>
      <c r="J6" s="159"/>
      <c r="K6" s="371"/>
      <c r="L6" s="320"/>
      <c r="M6" s="159"/>
      <c r="O6" s="159"/>
      <c r="P6" s="371"/>
      <c r="Q6" s="371"/>
      <c r="R6" s="331"/>
      <c r="S6" s="159" t="s">
        <v>236</v>
      </c>
    </row>
    <row r="7" spans="1:19" ht="15" customHeight="1" x14ac:dyDescent="0.25">
      <c r="A7" s="159" t="s">
        <v>108</v>
      </c>
      <c r="B7" s="407" t="s">
        <v>180</v>
      </c>
      <c r="C7" s="276" t="s">
        <v>13</v>
      </c>
      <c r="D7" s="320">
        <f>1011-33</f>
        <v>978</v>
      </c>
      <c r="E7" s="159"/>
      <c r="I7" s="159" t="s">
        <v>108</v>
      </c>
      <c r="J7" s="159" t="s">
        <v>180</v>
      </c>
      <c r="K7" s="371" t="s">
        <v>13</v>
      </c>
      <c r="L7" s="320">
        <v>1011</v>
      </c>
      <c r="M7" s="159"/>
      <c r="O7" s="327" t="s">
        <v>108</v>
      </c>
      <c r="P7" s="157"/>
      <c r="Q7" s="157"/>
      <c r="R7" s="321"/>
      <c r="S7" s="159" t="s">
        <v>227</v>
      </c>
    </row>
    <row r="8" spans="1:19" ht="15" customHeight="1" x14ac:dyDescent="0.25">
      <c r="A8" s="159" t="s">
        <v>108</v>
      </c>
      <c r="B8" s="407" t="s">
        <v>181</v>
      </c>
      <c r="C8" s="276" t="s">
        <v>13</v>
      </c>
      <c r="D8" s="467">
        <f>55522-33</f>
        <v>55489</v>
      </c>
      <c r="E8" s="159"/>
      <c r="I8" s="159" t="s">
        <v>108</v>
      </c>
      <c r="J8" s="159" t="s">
        <v>181</v>
      </c>
      <c r="K8" s="371" t="s">
        <v>13</v>
      </c>
      <c r="L8" s="320">
        <v>55522</v>
      </c>
      <c r="M8" s="159"/>
      <c r="O8" s="159" t="s">
        <v>237</v>
      </c>
      <c r="P8" s="371" t="s">
        <v>239</v>
      </c>
      <c r="Q8" s="371"/>
      <c r="R8" s="331">
        <v>33.299999999999997</v>
      </c>
      <c r="S8" s="168"/>
    </row>
    <row r="9" spans="1:19" ht="15" customHeight="1" x14ac:dyDescent="0.25">
      <c r="A9" s="159"/>
      <c r="B9" s="407"/>
      <c r="C9" s="276"/>
      <c r="D9" s="320"/>
      <c r="E9" s="159"/>
      <c r="I9" s="159"/>
      <c r="J9" s="159"/>
      <c r="K9" s="371"/>
      <c r="L9" s="320"/>
      <c r="M9" s="159"/>
      <c r="O9" s="159" t="s">
        <v>238</v>
      </c>
      <c r="P9" s="371" t="s">
        <v>240</v>
      </c>
      <c r="Q9" s="371"/>
      <c r="R9" s="331">
        <v>33.299999999999997</v>
      </c>
      <c r="S9" s="168"/>
    </row>
    <row r="10" spans="1:19" ht="15" customHeight="1" x14ac:dyDescent="0.25">
      <c r="A10" s="159" t="s">
        <v>268</v>
      </c>
      <c r="B10" s="407"/>
      <c r="C10" s="371" t="s">
        <v>13</v>
      </c>
      <c r="D10" s="467">
        <v>16725</v>
      </c>
      <c r="E10" s="159"/>
      <c r="I10" s="159" t="s">
        <v>268</v>
      </c>
      <c r="J10" s="159"/>
      <c r="K10" s="371"/>
      <c r="L10" s="320">
        <v>16725</v>
      </c>
      <c r="M10" s="159"/>
      <c r="O10" s="159"/>
      <c r="P10" s="157"/>
      <c r="Q10" s="157"/>
      <c r="R10" s="331" t="s">
        <v>227</v>
      </c>
      <c r="S10" s="171"/>
    </row>
    <row r="11" spans="1:19" ht="15" customHeight="1" x14ac:dyDescent="0.25">
      <c r="A11" s="159"/>
      <c r="B11" s="407"/>
      <c r="C11" s="159"/>
      <c r="D11" s="320"/>
      <c r="E11" s="173"/>
      <c r="I11" s="159"/>
      <c r="J11" s="159"/>
      <c r="K11" s="159"/>
      <c r="L11" s="320"/>
      <c r="M11" s="173"/>
      <c r="O11" s="324" t="s">
        <v>109</v>
      </c>
      <c r="P11" s="75"/>
      <c r="Q11" s="75"/>
      <c r="R11" s="331" t="s">
        <v>227</v>
      </c>
      <c r="S11" s="1"/>
    </row>
    <row r="12" spans="1:19" ht="15" customHeight="1" x14ac:dyDescent="0.25">
      <c r="A12" s="324" t="s">
        <v>109</v>
      </c>
      <c r="B12" s="325"/>
      <c r="C12" s="325"/>
      <c r="D12" s="326" t="s">
        <v>227</v>
      </c>
      <c r="E12" s="327"/>
      <c r="I12" s="324" t="s">
        <v>109</v>
      </c>
      <c r="J12" s="324"/>
      <c r="K12" s="325"/>
      <c r="L12" s="326" t="s">
        <v>227</v>
      </c>
      <c r="M12" s="327"/>
      <c r="O12" s="156" t="s">
        <v>222</v>
      </c>
      <c r="P12" s="75"/>
      <c r="Q12" s="75"/>
      <c r="R12" s="331">
        <v>26.7</v>
      </c>
      <c r="S12" s="1"/>
    </row>
    <row r="13" spans="1:19" ht="15" customHeight="1" x14ac:dyDescent="0.25">
      <c r="A13" s="156" t="s">
        <v>222</v>
      </c>
      <c r="B13" s="157"/>
      <c r="C13" s="276" t="s">
        <v>7</v>
      </c>
      <c r="D13" s="74">
        <f>370-27</f>
        <v>343</v>
      </c>
      <c r="E13" s="159"/>
      <c r="I13" s="156" t="s">
        <v>222</v>
      </c>
      <c r="J13" s="156"/>
      <c r="K13" s="371" t="s">
        <v>7</v>
      </c>
      <c r="L13" s="74">
        <v>369.69</v>
      </c>
      <c r="M13" s="159"/>
      <c r="O13" s="156" t="s">
        <v>223</v>
      </c>
      <c r="P13" s="75"/>
      <c r="Q13" s="75"/>
      <c r="R13" s="331">
        <v>35.6</v>
      </c>
      <c r="S13" s="1"/>
    </row>
    <row r="14" spans="1:19" ht="15" customHeight="1" x14ac:dyDescent="0.25">
      <c r="A14" s="156" t="s">
        <v>223</v>
      </c>
      <c r="B14" s="157"/>
      <c r="C14" s="276" t="s">
        <v>7</v>
      </c>
      <c r="D14" s="321">
        <f>432-36</f>
        <v>396</v>
      </c>
      <c r="E14" s="159"/>
      <c r="I14" s="156" t="s">
        <v>223</v>
      </c>
      <c r="J14" s="156"/>
      <c r="K14" s="371" t="s">
        <v>7</v>
      </c>
      <c r="L14" s="321">
        <v>432</v>
      </c>
      <c r="M14" s="159"/>
      <c r="O14" s="156" t="s">
        <v>226</v>
      </c>
      <c r="P14" s="75"/>
      <c r="Q14" s="75"/>
      <c r="R14" s="331">
        <v>30</v>
      </c>
      <c r="S14" s="1"/>
    </row>
    <row r="15" spans="1:19" ht="15" customHeight="1" x14ac:dyDescent="0.25">
      <c r="A15" s="156" t="s">
        <v>226</v>
      </c>
      <c r="B15" s="157"/>
      <c r="C15" s="276" t="s">
        <v>6</v>
      </c>
      <c r="D15" s="321">
        <f>491-30</f>
        <v>461</v>
      </c>
      <c r="E15" s="159"/>
      <c r="I15" s="156" t="s">
        <v>226</v>
      </c>
      <c r="J15" s="156"/>
      <c r="K15" s="371" t="s">
        <v>6</v>
      </c>
      <c r="L15" s="321">
        <v>491</v>
      </c>
      <c r="M15" s="159"/>
      <c r="O15" s="156" t="s">
        <v>224</v>
      </c>
      <c r="P15" s="75"/>
      <c r="Q15" s="75"/>
      <c r="R15" s="331">
        <v>31.1</v>
      </c>
      <c r="S15" s="1"/>
    </row>
    <row r="16" spans="1:19" ht="15" customHeight="1" x14ac:dyDescent="0.25">
      <c r="A16" s="156" t="s">
        <v>224</v>
      </c>
      <c r="B16" s="157"/>
      <c r="C16" s="276" t="s">
        <v>7</v>
      </c>
      <c r="D16" s="321">
        <f>469-31</f>
        <v>438</v>
      </c>
      <c r="E16" s="159"/>
      <c r="I16" s="156" t="s">
        <v>224</v>
      </c>
      <c r="J16" s="156"/>
      <c r="K16" s="371" t="s">
        <v>7</v>
      </c>
      <c r="L16" s="321">
        <v>469</v>
      </c>
      <c r="M16" s="159"/>
      <c r="O16" s="156" t="s">
        <v>228</v>
      </c>
      <c r="P16" s="75"/>
      <c r="Q16" s="75"/>
      <c r="R16" s="331">
        <v>28.9</v>
      </c>
      <c r="S16" s="1"/>
    </row>
    <row r="17" spans="1:19" ht="15" customHeight="1" x14ac:dyDescent="0.25">
      <c r="A17" s="156" t="s">
        <v>228</v>
      </c>
      <c r="B17" s="157"/>
      <c r="C17" s="276" t="s">
        <v>7</v>
      </c>
      <c r="D17" s="321">
        <f>480-29</f>
        <v>451</v>
      </c>
      <c r="E17" s="159"/>
      <c r="I17" s="156" t="s">
        <v>228</v>
      </c>
      <c r="J17" s="156"/>
      <c r="K17" s="371" t="s">
        <v>7</v>
      </c>
      <c r="L17" s="321">
        <v>480</v>
      </c>
      <c r="M17" s="159"/>
      <c r="O17" s="156" t="s">
        <v>229</v>
      </c>
      <c r="P17" s="75"/>
      <c r="Q17" s="75"/>
      <c r="R17" s="331">
        <v>27.2</v>
      </c>
      <c r="S17" s="1"/>
    </row>
    <row r="18" spans="1:19" ht="15" customHeight="1" thickBot="1" x14ac:dyDescent="0.3">
      <c r="A18" s="156" t="s">
        <v>229</v>
      </c>
      <c r="B18" s="157"/>
      <c r="C18" s="276" t="s">
        <v>6</v>
      </c>
      <c r="D18" s="321">
        <f>455-27</f>
        <v>428</v>
      </c>
      <c r="E18" s="159"/>
      <c r="I18" s="156" t="s">
        <v>229</v>
      </c>
      <c r="J18" s="156"/>
      <c r="K18" s="371" t="s">
        <v>6</v>
      </c>
      <c r="L18" s="321">
        <v>455</v>
      </c>
      <c r="M18" s="159"/>
      <c r="O18" s="193" t="s">
        <v>225</v>
      </c>
      <c r="P18" s="340"/>
      <c r="Q18" s="340"/>
      <c r="R18" s="323">
        <v>33.299999999999997</v>
      </c>
      <c r="S18" s="341"/>
    </row>
    <row r="19" spans="1:19" ht="15" customHeight="1" x14ac:dyDescent="0.25">
      <c r="A19" s="174" t="s">
        <v>225</v>
      </c>
      <c r="B19" s="157"/>
      <c r="C19" s="276" t="s">
        <v>7</v>
      </c>
      <c r="D19" s="321">
        <f>850-33</f>
        <v>817</v>
      </c>
      <c r="E19" s="159"/>
      <c r="I19" s="174" t="s">
        <v>225</v>
      </c>
      <c r="J19" s="156"/>
      <c r="K19" s="371" t="s">
        <v>7</v>
      </c>
      <c r="L19" s="321">
        <v>850</v>
      </c>
      <c r="M19" s="159"/>
      <c r="O19" s="162" t="s">
        <v>163</v>
      </c>
      <c r="P19" s="75"/>
      <c r="Q19" s="75"/>
      <c r="R19" s="331">
        <f>SUM(R8:R18)</f>
        <v>279.39999999999998</v>
      </c>
      <c r="S19" s="1"/>
    </row>
    <row r="20" spans="1:19" ht="15" customHeight="1" thickBot="1" x14ac:dyDescent="0.3">
      <c r="A20" s="401" t="s">
        <v>232</v>
      </c>
      <c r="B20" s="407"/>
      <c r="C20" s="402" t="s">
        <v>6</v>
      </c>
      <c r="D20" s="331">
        <v>604</v>
      </c>
      <c r="E20" s="168"/>
      <c r="I20" s="193" t="s">
        <v>232</v>
      </c>
      <c r="J20" s="193"/>
      <c r="K20" s="158" t="s">
        <v>6</v>
      </c>
      <c r="L20" s="323">
        <v>604</v>
      </c>
      <c r="M20" s="194"/>
    </row>
    <row r="21" spans="1:19" ht="15" customHeight="1" x14ac:dyDescent="0.25">
      <c r="A21" s="410" t="s">
        <v>122</v>
      </c>
      <c r="B21" s="411"/>
      <c r="C21" s="411"/>
      <c r="D21" s="466">
        <f>SUM(D7:D20)</f>
        <v>77130</v>
      </c>
      <c r="E21" s="412"/>
      <c r="I21" s="162" t="s">
        <v>247</v>
      </c>
      <c r="J21" s="162"/>
      <c r="K21" s="157"/>
      <c r="L21" s="321">
        <f>SUM(L7:L20)</f>
        <v>77408.69</v>
      </c>
      <c r="M21" s="171"/>
    </row>
    <row r="22" spans="1:19" ht="15.75" thickBot="1" x14ac:dyDescent="0.3">
      <c r="A22" s="347"/>
      <c r="B22" s="25"/>
      <c r="C22" s="1"/>
      <c r="D22" s="25"/>
      <c r="I22" s="347" t="s">
        <v>246</v>
      </c>
      <c r="L22" s="75">
        <v>279</v>
      </c>
      <c r="M22" s="1"/>
    </row>
    <row r="23" spans="1:19" ht="15.75" thickTop="1" x14ac:dyDescent="0.25">
      <c r="A23" s="347"/>
      <c r="B23" s="25"/>
      <c r="C23" s="1"/>
      <c r="D23" s="387"/>
      <c r="I23" s="348" t="s">
        <v>122</v>
      </c>
      <c r="J23" s="349"/>
      <c r="K23" s="349"/>
      <c r="L23" s="351">
        <f>SUM(L21-L22)</f>
        <v>77129.69</v>
      </c>
      <c r="M23" s="349"/>
    </row>
    <row r="24" spans="1:19" x14ac:dyDescent="0.25">
      <c r="A24" s="347"/>
      <c r="D24" s="75"/>
    </row>
    <row r="25" spans="1:19" x14ac:dyDescent="0.25">
      <c r="D25" s="75"/>
    </row>
    <row r="26" spans="1:19" x14ac:dyDescent="0.25">
      <c r="A26" t="s">
        <v>220</v>
      </c>
      <c r="D26" s="75"/>
    </row>
    <row r="27" spans="1:19" x14ac:dyDescent="0.25">
      <c r="A27" t="s">
        <v>221</v>
      </c>
      <c r="D27" s="75"/>
    </row>
    <row r="28" spans="1:19" x14ac:dyDescent="0.25">
      <c r="D28" s="75"/>
    </row>
    <row r="29" spans="1:19" x14ac:dyDescent="0.25">
      <c r="D29" s="75"/>
    </row>
    <row r="30" spans="1:19" x14ac:dyDescent="0.25">
      <c r="D30" s="75"/>
    </row>
    <row r="31" spans="1:19" x14ac:dyDescent="0.25">
      <c r="D31" s="75"/>
    </row>
    <row r="32" spans="1:19" x14ac:dyDescent="0.25">
      <c r="A32" s="352" t="s">
        <v>248</v>
      </c>
      <c r="D32" s="75"/>
    </row>
    <row r="33" spans="1:8" x14ac:dyDescent="0.25">
      <c r="A33" s="315" t="s">
        <v>40</v>
      </c>
      <c r="B33" s="75" t="s">
        <v>227</v>
      </c>
      <c r="C33" s="315" t="s">
        <v>14</v>
      </c>
      <c r="D33" s="75" t="s">
        <v>234</v>
      </c>
      <c r="E33" s="329" t="s">
        <v>72</v>
      </c>
      <c r="F33" s="330" t="s">
        <v>10</v>
      </c>
    </row>
    <row r="34" spans="1:8" x14ac:dyDescent="0.25">
      <c r="A34">
        <v>12185.87</v>
      </c>
      <c r="B34" s="75" t="s">
        <v>227</v>
      </c>
      <c r="D34" s="75"/>
    </row>
    <row r="35" spans="1:8" x14ac:dyDescent="0.25">
      <c r="A35" s="22">
        <v>11806.57</v>
      </c>
      <c r="B35" s="25" t="s">
        <v>227</v>
      </c>
      <c r="D35" s="75"/>
    </row>
    <row r="36" spans="1:8" x14ac:dyDescent="0.25">
      <c r="A36" s="328">
        <f>SUM(A34-A35)</f>
        <v>379.30000000000109</v>
      </c>
      <c r="B36" s="25" t="s">
        <v>227</v>
      </c>
      <c r="C36" s="328">
        <f>SUM(A36:B36)</f>
        <v>379.30000000000109</v>
      </c>
      <c r="D36" s="75">
        <v>24</v>
      </c>
      <c r="E36" s="1">
        <f>SUM(C36*D36)</f>
        <v>9103.2000000000262</v>
      </c>
      <c r="F36" s="358">
        <f>SUM(E36)/9</f>
        <v>1011.4666666666695</v>
      </c>
    </row>
    <row r="37" spans="1:8" x14ac:dyDescent="0.25">
      <c r="A37" s="328"/>
      <c r="B37" s="25"/>
      <c r="C37" s="328"/>
      <c r="D37" s="75"/>
    </row>
    <row r="38" spans="1:8" x14ac:dyDescent="0.25">
      <c r="B38" s="25"/>
      <c r="D38" s="75"/>
    </row>
    <row r="39" spans="1:8" x14ac:dyDescent="0.25">
      <c r="A39" s="315" t="s">
        <v>40</v>
      </c>
      <c r="B39" s="25" t="s">
        <v>227</v>
      </c>
      <c r="C39" s="315" t="s">
        <v>14</v>
      </c>
      <c r="D39" s="75" t="s">
        <v>234</v>
      </c>
      <c r="E39" s="329" t="s">
        <v>72</v>
      </c>
      <c r="F39" s="330" t="s">
        <v>10</v>
      </c>
    </row>
    <row r="40" spans="1:8" x14ac:dyDescent="0.25">
      <c r="A40">
        <v>33217.47</v>
      </c>
      <c r="B40" s="25" t="s">
        <v>227</v>
      </c>
      <c r="D40" s="75"/>
    </row>
    <row r="41" spans="1:8" x14ac:dyDescent="0.25">
      <c r="A41" s="22">
        <v>12396.78</v>
      </c>
      <c r="B41" s="25" t="s">
        <v>227</v>
      </c>
      <c r="D41" s="75"/>
    </row>
    <row r="42" spans="1:8" x14ac:dyDescent="0.25">
      <c r="A42">
        <f>SUM(A40-A41)</f>
        <v>20820.690000000002</v>
      </c>
      <c r="B42" s="75" t="s">
        <v>227</v>
      </c>
      <c r="C42" s="328">
        <f>SUM(A42:B42)</f>
        <v>20820.690000000002</v>
      </c>
      <c r="D42" s="75">
        <v>24</v>
      </c>
      <c r="E42" s="1">
        <f>SUM(C42*D42)</f>
        <v>499696.56000000006</v>
      </c>
      <c r="F42" s="358">
        <f>SUM(E42)/9</f>
        <v>55521.840000000004</v>
      </c>
    </row>
    <row r="43" spans="1:8" x14ac:dyDescent="0.25">
      <c r="C43" s="328"/>
      <c r="D43" s="75"/>
      <c r="F43" s="316"/>
    </row>
    <row r="44" spans="1:8" x14ac:dyDescent="0.25">
      <c r="C44" s="328"/>
      <c r="D44" s="75"/>
      <c r="F44" s="316"/>
    </row>
    <row r="45" spans="1:8" x14ac:dyDescent="0.25">
      <c r="A45" s="352" t="s">
        <v>249</v>
      </c>
      <c r="C45" s="328"/>
      <c r="D45" s="75"/>
      <c r="F45" s="316"/>
    </row>
    <row r="46" spans="1:8" x14ac:dyDescent="0.25">
      <c r="A46" s="22" t="s">
        <v>227</v>
      </c>
      <c r="B46" s="73" t="s">
        <v>250</v>
      </c>
      <c r="C46" s="353" t="s">
        <v>3</v>
      </c>
      <c r="D46" s="73" t="s">
        <v>14</v>
      </c>
      <c r="E46" s="73" t="s">
        <v>233</v>
      </c>
      <c r="F46" s="354" t="s">
        <v>72</v>
      </c>
      <c r="G46" s="355" t="s">
        <v>10</v>
      </c>
      <c r="H46" s="355" t="s">
        <v>5</v>
      </c>
    </row>
    <row r="47" spans="1:8" x14ac:dyDescent="0.25">
      <c r="A47" t="s">
        <v>108</v>
      </c>
      <c r="C47" s="333"/>
      <c r="D47" s="75"/>
      <c r="E47" s="25"/>
      <c r="F47" s="74"/>
      <c r="G47" s="75"/>
    </row>
    <row r="48" spans="1:8" x14ac:dyDescent="0.25">
      <c r="B48" s="75" t="s">
        <v>180</v>
      </c>
      <c r="C48" s="333" t="s">
        <v>7</v>
      </c>
      <c r="D48" s="75">
        <v>354.3</v>
      </c>
      <c r="E48" s="25">
        <v>10</v>
      </c>
      <c r="F48" s="74">
        <f t="shared" ref="F48:F77" si="0">SUM(D48*E48)</f>
        <v>3543</v>
      </c>
      <c r="G48" s="74">
        <f>SUM(F48)/9</f>
        <v>393.66666666666669</v>
      </c>
    </row>
    <row r="49" spans="2:7" x14ac:dyDescent="0.25">
      <c r="C49" s="333" t="s">
        <v>6</v>
      </c>
      <c r="D49" s="75">
        <v>404.1</v>
      </c>
      <c r="E49" s="25">
        <v>10</v>
      </c>
      <c r="F49" s="74">
        <f t="shared" si="0"/>
        <v>4041</v>
      </c>
      <c r="G49" s="74">
        <f t="shared" ref="G49:G77" si="1">SUM(F49)/9</f>
        <v>449</v>
      </c>
    </row>
    <row r="50" spans="2:7" x14ac:dyDescent="0.25">
      <c r="B50" s="75" t="s">
        <v>251</v>
      </c>
      <c r="C50" s="333" t="s">
        <v>7</v>
      </c>
      <c r="D50" s="75">
        <v>918.4</v>
      </c>
      <c r="E50" s="25">
        <v>11.4</v>
      </c>
      <c r="F50" s="74">
        <f t="shared" si="0"/>
        <v>10469.76</v>
      </c>
      <c r="G50" s="74">
        <f t="shared" si="1"/>
        <v>1163.3066666666666</v>
      </c>
    </row>
    <row r="51" spans="2:7" x14ac:dyDescent="0.25">
      <c r="B51" s="75" t="s">
        <v>252</v>
      </c>
      <c r="C51" s="333" t="s">
        <v>6</v>
      </c>
      <c r="D51" s="75">
        <v>610.9</v>
      </c>
      <c r="E51" s="25">
        <v>10</v>
      </c>
      <c r="F51" s="74">
        <f t="shared" si="0"/>
        <v>6109</v>
      </c>
      <c r="G51" s="74">
        <f t="shared" si="1"/>
        <v>678.77777777777783</v>
      </c>
    </row>
    <row r="52" spans="2:7" x14ac:dyDescent="0.25">
      <c r="B52" s="75" t="s">
        <v>253</v>
      </c>
      <c r="C52" s="333" t="s">
        <v>6</v>
      </c>
      <c r="D52" s="75">
        <v>260.10000000000002</v>
      </c>
      <c r="E52" s="25">
        <v>1.5</v>
      </c>
      <c r="F52" s="74">
        <f t="shared" si="0"/>
        <v>390.15000000000003</v>
      </c>
      <c r="G52" s="74">
        <f t="shared" si="1"/>
        <v>43.35</v>
      </c>
    </row>
    <row r="53" spans="2:7" x14ac:dyDescent="0.25">
      <c r="B53" s="75" t="s">
        <v>266</v>
      </c>
      <c r="C53" s="333" t="s">
        <v>7</v>
      </c>
      <c r="D53" s="75">
        <v>141.30000000000001</v>
      </c>
      <c r="E53" s="25">
        <v>10</v>
      </c>
      <c r="F53" s="74">
        <f t="shared" si="0"/>
        <v>1413</v>
      </c>
      <c r="G53" s="74">
        <f t="shared" si="1"/>
        <v>157</v>
      </c>
    </row>
    <row r="54" spans="2:7" x14ac:dyDescent="0.25">
      <c r="B54" s="75" t="s">
        <v>267</v>
      </c>
      <c r="C54" s="333" t="s">
        <v>7</v>
      </c>
      <c r="D54" s="75">
        <v>2418</v>
      </c>
      <c r="E54" s="25">
        <v>1.5</v>
      </c>
      <c r="F54" s="74">
        <f t="shared" si="0"/>
        <v>3627</v>
      </c>
      <c r="G54" s="74">
        <f t="shared" si="1"/>
        <v>403</v>
      </c>
    </row>
    <row r="55" spans="2:7" x14ac:dyDescent="0.25">
      <c r="B55" s="75" t="s">
        <v>254</v>
      </c>
      <c r="C55" s="333" t="s">
        <v>6</v>
      </c>
      <c r="D55" s="75">
        <v>2618</v>
      </c>
      <c r="E55" s="25">
        <v>1.5</v>
      </c>
      <c r="F55" s="74">
        <f t="shared" si="0"/>
        <v>3927</v>
      </c>
      <c r="G55" s="74">
        <f t="shared" si="1"/>
        <v>436.33333333333331</v>
      </c>
    </row>
    <row r="56" spans="2:7" x14ac:dyDescent="0.25">
      <c r="B56" s="75" t="s">
        <v>255</v>
      </c>
      <c r="C56" s="333" t="s">
        <v>7</v>
      </c>
      <c r="D56" s="75">
        <v>437</v>
      </c>
      <c r="E56" s="25">
        <v>2.2999999999999998</v>
      </c>
      <c r="F56" s="74">
        <f t="shared" si="0"/>
        <v>1005.0999999999999</v>
      </c>
      <c r="G56" s="74">
        <f t="shared" si="1"/>
        <v>111.67777777777776</v>
      </c>
    </row>
    <row r="57" spans="2:7" x14ac:dyDescent="0.25">
      <c r="C57" s="333" t="s">
        <v>6</v>
      </c>
      <c r="D57" s="75">
        <v>437</v>
      </c>
      <c r="E57" s="25">
        <v>8.3000000000000007</v>
      </c>
      <c r="F57" s="74">
        <f t="shared" si="0"/>
        <v>3627.1000000000004</v>
      </c>
      <c r="G57" s="74">
        <f t="shared" si="1"/>
        <v>403.01111111111118</v>
      </c>
    </row>
    <row r="58" spans="2:7" x14ac:dyDescent="0.25">
      <c r="B58" s="75" t="s">
        <v>256</v>
      </c>
      <c r="C58" s="333" t="s">
        <v>7</v>
      </c>
      <c r="D58" s="75">
        <v>355</v>
      </c>
      <c r="E58" s="25">
        <v>4.3</v>
      </c>
      <c r="F58" s="74">
        <f t="shared" si="0"/>
        <v>1526.5</v>
      </c>
      <c r="G58" s="74">
        <f t="shared" si="1"/>
        <v>169.61111111111111</v>
      </c>
    </row>
    <row r="59" spans="2:7" x14ac:dyDescent="0.25">
      <c r="C59" s="333" t="s">
        <v>6</v>
      </c>
      <c r="D59" s="75">
        <v>355</v>
      </c>
      <c r="E59" s="25">
        <v>7.8</v>
      </c>
      <c r="F59" s="74">
        <f t="shared" si="0"/>
        <v>2769</v>
      </c>
      <c r="G59" s="74">
        <f t="shared" si="1"/>
        <v>307.66666666666669</v>
      </c>
    </row>
    <row r="60" spans="2:7" x14ac:dyDescent="0.25">
      <c r="B60" s="75" t="s">
        <v>257</v>
      </c>
      <c r="C60" s="333" t="s">
        <v>7</v>
      </c>
      <c r="D60" s="75">
        <v>4010</v>
      </c>
      <c r="E60" s="25">
        <v>3</v>
      </c>
      <c r="F60" s="74">
        <f t="shared" si="0"/>
        <v>12030</v>
      </c>
      <c r="G60" s="74">
        <f t="shared" si="1"/>
        <v>1336.6666666666667</v>
      </c>
    </row>
    <row r="61" spans="2:7" x14ac:dyDescent="0.25">
      <c r="C61" s="333" t="s">
        <v>6</v>
      </c>
      <c r="D61" s="75">
        <v>4010</v>
      </c>
      <c r="E61" s="25">
        <v>3</v>
      </c>
      <c r="F61" s="74">
        <f t="shared" si="0"/>
        <v>12030</v>
      </c>
      <c r="G61" s="74">
        <f t="shared" si="1"/>
        <v>1336.6666666666667</v>
      </c>
    </row>
    <row r="62" spans="2:7" x14ac:dyDescent="0.25">
      <c r="B62" s="75" t="s">
        <v>258</v>
      </c>
      <c r="C62" s="333" t="s">
        <v>7</v>
      </c>
      <c r="D62" s="75">
        <v>360</v>
      </c>
      <c r="E62" s="25">
        <v>3</v>
      </c>
      <c r="F62" s="74">
        <f t="shared" si="0"/>
        <v>1080</v>
      </c>
      <c r="G62" s="74">
        <f t="shared" si="1"/>
        <v>120</v>
      </c>
    </row>
    <row r="63" spans="2:7" x14ac:dyDescent="0.25">
      <c r="C63" s="333" t="s">
        <v>6</v>
      </c>
      <c r="D63" s="75">
        <v>360</v>
      </c>
      <c r="E63" s="25">
        <v>10</v>
      </c>
      <c r="F63" s="74">
        <f t="shared" si="0"/>
        <v>3600</v>
      </c>
      <c r="G63" s="74">
        <f t="shared" si="1"/>
        <v>400</v>
      </c>
    </row>
    <row r="64" spans="2:7" x14ac:dyDescent="0.25">
      <c r="B64" s="75" t="s">
        <v>260</v>
      </c>
      <c r="C64" s="333" t="s">
        <v>7</v>
      </c>
      <c r="D64" s="75">
        <v>380</v>
      </c>
      <c r="E64" s="25">
        <v>3</v>
      </c>
      <c r="F64" s="74">
        <f t="shared" si="0"/>
        <v>1140</v>
      </c>
      <c r="G64" s="74">
        <f t="shared" si="1"/>
        <v>126.66666666666667</v>
      </c>
    </row>
    <row r="65" spans="1:7" x14ac:dyDescent="0.25">
      <c r="C65" s="333" t="s">
        <v>6</v>
      </c>
      <c r="D65" s="75">
        <v>380</v>
      </c>
      <c r="E65" s="25">
        <v>10</v>
      </c>
      <c r="F65" s="74">
        <f t="shared" si="0"/>
        <v>3800</v>
      </c>
      <c r="G65" s="74">
        <f t="shared" si="1"/>
        <v>422.22222222222223</v>
      </c>
    </row>
    <row r="66" spans="1:7" x14ac:dyDescent="0.25">
      <c r="B66" s="75" t="s">
        <v>259</v>
      </c>
      <c r="C66" s="333" t="s">
        <v>7</v>
      </c>
      <c r="D66" s="75">
        <v>10670</v>
      </c>
      <c r="E66" s="25">
        <v>3</v>
      </c>
      <c r="F66" s="74">
        <f t="shared" si="0"/>
        <v>32010</v>
      </c>
      <c r="G66" s="74">
        <f t="shared" si="1"/>
        <v>3556.6666666666665</v>
      </c>
    </row>
    <row r="67" spans="1:7" x14ac:dyDescent="0.25">
      <c r="C67" s="333" t="s">
        <v>6</v>
      </c>
      <c r="D67" s="75">
        <v>10670</v>
      </c>
      <c r="E67" s="25">
        <v>3</v>
      </c>
      <c r="F67" s="74">
        <f t="shared" si="0"/>
        <v>32010</v>
      </c>
      <c r="G67" s="74">
        <f t="shared" si="1"/>
        <v>3556.6666666666665</v>
      </c>
    </row>
    <row r="68" spans="1:7" x14ac:dyDescent="0.25">
      <c r="B68" s="75" t="s">
        <v>261</v>
      </c>
      <c r="C68" s="333" t="s">
        <v>7</v>
      </c>
      <c r="D68" s="75">
        <v>160</v>
      </c>
      <c r="E68" s="25">
        <v>3</v>
      </c>
      <c r="F68" s="74">
        <f t="shared" si="0"/>
        <v>480</v>
      </c>
      <c r="G68" s="74">
        <f t="shared" si="1"/>
        <v>53.333333333333336</v>
      </c>
    </row>
    <row r="69" spans="1:7" x14ac:dyDescent="0.25">
      <c r="C69" s="333" t="s">
        <v>6</v>
      </c>
      <c r="D69" s="75">
        <v>160</v>
      </c>
      <c r="E69" s="25">
        <v>10</v>
      </c>
      <c r="F69" s="74">
        <f t="shared" si="0"/>
        <v>1600</v>
      </c>
      <c r="G69" s="74">
        <f t="shared" si="1"/>
        <v>177.77777777777777</v>
      </c>
    </row>
    <row r="70" spans="1:7" x14ac:dyDescent="0.25">
      <c r="B70" s="75" t="s">
        <v>262</v>
      </c>
      <c r="C70" s="333" t="s">
        <v>7</v>
      </c>
      <c r="D70" s="75">
        <v>210</v>
      </c>
      <c r="E70" s="25">
        <v>3</v>
      </c>
      <c r="F70" s="74">
        <f t="shared" si="0"/>
        <v>630</v>
      </c>
      <c r="G70" s="74">
        <f t="shared" si="1"/>
        <v>70</v>
      </c>
    </row>
    <row r="71" spans="1:7" x14ac:dyDescent="0.25">
      <c r="C71" s="333" t="s">
        <v>6</v>
      </c>
      <c r="D71" s="75">
        <v>210</v>
      </c>
      <c r="E71" s="25">
        <v>10</v>
      </c>
      <c r="F71" s="74">
        <f t="shared" si="0"/>
        <v>2100</v>
      </c>
      <c r="G71" s="74">
        <f t="shared" si="1"/>
        <v>233.33333333333334</v>
      </c>
    </row>
    <row r="72" spans="1:7" x14ac:dyDescent="0.25">
      <c r="B72" s="75" t="s">
        <v>263</v>
      </c>
      <c r="C72" s="333" t="s">
        <v>7</v>
      </c>
      <c r="D72" s="75">
        <v>265</v>
      </c>
      <c r="E72" s="25">
        <v>3.2</v>
      </c>
      <c r="F72" s="74">
        <f t="shared" si="0"/>
        <v>848</v>
      </c>
      <c r="G72" s="74">
        <f t="shared" si="1"/>
        <v>94.222222222222229</v>
      </c>
    </row>
    <row r="73" spans="1:7" x14ac:dyDescent="0.25">
      <c r="C73" s="333" t="s">
        <v>6</v>
      </c>
      <c r="D73" s="75">
        <v>265</v>
      </c>
      <c r="E73" s="25">
        <v>3.4</v>
      </c>
      <c r="F73" s="74">
        <f t="shared" si="0"/>
        <v>901</v>
      </c>
      <c r="G73" s="74">
        <f t="shared" si="1"/>
        <v>100.11111111111111</v>
      </c>
    </row>
    <row r="74" spans="1:7" x14ac:dyDescent="0.25">
      <c r="B74" s="75" t="s">
        <v>264</v>
      </c>
      <c r="C74" s="333" t="s">
        <v>7</v>
      </c>
      <c r="D74" s="75">
        <v>157</v>
      </c>
      <c r="E74" s="25">
        <v>3</v>
      </c>
      <c r="F74" s="74">
        <f t="shared" si="0"/>
        <v>471</v>
      </c>
      <c r="G74" s="74">
        <f t="shared" si="1"/>
        <v>52.333333333333336</v>
      </c>
    </row>
    <row r="75" spans="1:7" x14ac:dyDescent="0.25">
      <c r="C75" s="333" t="s">
        <v>6</v>
      </c>
      <c r="D75" s="75">
        <v>157</v>
      </c>
      <c r="E75" s="25">
        <v>10</v>
      </c>
      <c r="F75" s="74">
        <f t="shared" si="0"/>
        <v>1570</v>
      </c>
      <c r="G75" s="74">
        <f t="shared" si="1"/>
        <v>174.44444444444446</v>
      </c>
    </row>
    <row r="76" spans="1:7" x14ac:dyDescent="0.25">
      <c r="A76" s="328"/>
      <c r="B76" s="75" t="s">
        <v>265</v>
      </c>
      <c r="C76" s="333" t="s">
        <v>7</v>
      </c>
      <c r="D76" s="75">
        <v>296</v>
      </c>
      <c r="E76" s="25">
        <v>3</v>
      </c>
      <c r="F76" s="74">
        <f t="shared" si="0"/>
        <v>888</v>
      </c>
      <c r="G76" s="74">
        <f t="shared" si="1"/>
        <v>98.666666666666671</v>
      </c>
    </row>
    <row r="77" spans="1:7" ht="15.75" thickBot="1" x14ac:dyDescent="0.3">
      <c r="A77" s="328"/>
      <c r="C77" s="333" t="s">
        <v>6</v>
      </c>
      <c r="D77" s="75">
        <v>296</v>
      </c>
      <c r="E77" s="25">
        <v>3</v>
      </c>
      <c r="F77" s="74">
        <f t="shared" si="0"/>
        <v>888</v>
      </c>
      <c r="G77" s="74">
        <f t="shared" si="1"/>
        <v>98.666666666666671</v>
      </c>
    </row>
    <row r="78" spans="1:7" ht="15.75" thickTop="1" x14ac:dyDescent="0.25">
      <c r="A78" s="356"/>
      <c r="B78" s="350"/>
      <c r="C78" s="357"/>
      <c r="D78" s="350"/>
      <c r="E78" s="350"/>
      <c r="F78" s="351"/>
      <c r="G78" s="359">
        <f>SUM(G48:G77)</f>
        <v>16724.845555555559</v>
      </c>
    </row>
    <row r="79" spans="1:7" x14ac:dyDescent="0.25">
      <c r="A79" s="328"/>
      <c r="C79" s="333"/>
      <c r="D79" s="75"/>
      <c r="E79" s="25"/>
      <c r="F79" s="74"/>
      <c r="G79" s="74"/>
    </row>
    <row r="80" spans="1:7" x14ac:dyDescent="0.25">
      <c r="A80" s="328"/>
      <c r="C80" s="333"/>
      <c r="D80" s="75"/>
      <c r="E80" s="25"/>
      <c r="F80" s="74"/>
      <c r="G80" s="74"/>
    </row>
    <row r="81" spans="1:7" x14ac:dyDescent="0.25">
      <c r="A81" s="328"/>
      <c r="C81" s="333"/>
      <c r="D81" s="75"/>
      <c r="E81" s="25"/>
      <c r="F81" s="74"/>
      <c r="G81" s="74"/>
    </row>
    <row r="82" spans="1:7" x14ac:dyDescent="0.25">
      <c r="A82" s="328"/>
      <c r="C82" s="333"/>
      <c r="D82" s="75"/>
      <c r="E82" s="25"/>
      <c r="F82" s="74"/>
      <c r="G82" s="74"/>
    </row>
    <row r="83" spans="1:7" x14ac:dyDescent="0.25">
      <c r="A83" s="328"/>
      <c r="C83" s="333"/>
      <c r="D83" s="75"/>
      <c r="E83" s="25"/>
      <c r="F83" s="74"/>
      <c r="G83" s="74"/>
    </row>
    <row r="84" spans="1:7" x14ac:dyDescent="0.25">
      <c r="D84" s="75"/>
    </row>
    <row r="85" spans="1:7" x14ac:dyDescent="0.25">
      <c r="A85" s="339" t="s">
        <v>230</v>
      </c>
      <c r="B85" s="440"/>
      <c r="D85" s="75"/>
    </row>
    <row r="86" spans="1:7" x14ac:dyDescent="0.25">
      <c r="B86" s="75" t="s">
        <v>72</v>
      </c>
      <c r="C86" s="315" t="s">
        <v>10</v>
      </c>
      <c r="D86" s="75"/>
    </row>
    <row r="87" spans="1:7" x14ac:dyDescent="0.25">
      <c r="A87" t="s">
        <v>222</v>
      </c>
      <c r="B87" s="441">
        <v>3327.1984000000002</v>
      </c>
      <c r="C87" s="358">
        <f>SUM(B87)/9</f>
        <v>369.68871111111116</v>
      </c>
      <c r="D87" s="75"/>
    </row>
    <row r="88" spans="1:7" x14ac:dyDescent="0.25">
      <c r="A88" t="s">
        <v>223</v>
      </c>
      <c r="B88" s="441">
        <v>3888.5392000000002</v>
      </c>
      <c r="C88" s="358">
        <f t="shared" ref="C88:C94" si="2">SUM(B88)/9</f>
        <v>432.05991111111115</v>
      </c>
      <c r="D88" s="75"/>
    </row>
    <row r="89" spans="1:7" x14ac:dyDescent="0.25">
      <c r="A89" t="s">
        <v>226</v>
      </c>
      <c r="B89" s="441">
        <v>4419.1629999999996</v>
      </c>
      <c r="C89" s="358">
        <f t="shared" si="2"/>
        <v>491.01811111111107</v>
      </c>
      <c r="D89" s="75"/>
    </row>
    <row r="90" spans="1:7" x14ac:dyDescent="0.25">
      <c r="A90" t="s">
        <v>231</v>
      </c>
      <c r="B90" s="441">
        <v>4217.8981999999996</v>
      </c>
      <c r="C90" s="358">
        <f t="shared" si="2"/>
        <v>468.6553555555555</v>
      </c>
      <c r="D90" s="75"/>
    </row>
    <row r="91" spans="1:7" x14ac:dyDescent="0.25">
      <c r="A91" t="s">
        <v>228</v>
      </c>
      <c r="B91" s="441">
        <v>4315.9229999999998</v>
      </c>
      <c r="C91" s="358">
        <f t="shared" si="2"/>
        <v>479.54699999999997</v>
      </c>
      <c r="D91" s="75"/>
    </row>
    <row r="92" spans="1:7" x14ac:dyDescent="0.25">
      <c r="A92" t="s">
        <v>229</v>
      </c>
      <c r="B92" s="441">
        <v>4097.7367999999997</v>
      </c>
      <c r="C92" s="358">
        <f t="shared" si="2"/>
        <v>455.30408888888883</v>
      </c>
      <c r="D92" s="75"/>
    </row>
    <row r="93" spans="1:7" x14ac:dyDescent="0.25">
      <c r="A93" t="s">
        <v>225</v>
      </c>
      <c r="B93" s="441">
        <v>7649.9795000000004</v>
      </c>
      <c r="C93" s="358">
        <f t="shared" si="2"/>
        <v>849.99772222222225</v>
      </c>
      <c r="D93" s="75"/>
    </row>
    <row r="94" spans="1:7" ht="15.75" thickBot="1" x14ac:dyDescent="0.3">
      <c r="A94" s="317" t="s">
        <v>232</v>
      </c>
      <c r="B94" s="442">
        <v>5431.8334000000004</v>
      </c>
      <c r="C94" s="360">
        <f t="shared" si="2"/>
        <v>603.53704444444452</v>
      </c>
      <c r="D94" s="75"/>
    </row>
    <row r="95" spans="1:7" ht="15.75" thickTop="1" x14ac:dyDescent="0.25">
      <c r="B95" s="441" t="s">
        <v>122</v>
      </c>
      <c r="C95" s="316">
        <f>SUM(C87:C94)</f>
        <v>4149.8079444444447</v>
      </c>
      <c r="D95" s="75"/>
    </row>
    <row r="96" spans="1:7" x14ac:dyDescent="0.25">
      <c r="C96" s="314" t="s">
        <v>227</v>
      </c>
      <c r="D96" s="75"/>
    </row>
    <row r="97" spans="1:4" x14ac:dyDescent="0.25">
      <c r="D97" s="75"/>
    </row>
    <row r="98" spans="1:4" x14ac:dyDescent="0.25">
      <c r="D98" s="75"/>
    </row>
    <row r="99" spans="1:4" x14ac:dyDescent="0.25">
      <c r="D99" s="75"/>
    </row>
    <row r="100" spans="1:4" x14ac:dyDescent="0.25">
      <c r="A100" t="s">
        <v>220</v>
      </c>
      <c r="D100" s="75"/>
    </row>
    <row r="101" spans="1:4" x14ac:dyDescent="0.25">
      <c r="A101" t="s">
        <v>221</v>
      </c>
      <c r="D101" s="75"/>
    </row>
  </sheetData>
  <mergeCells count="3">
    <mergeCell ref="A2:D2"/>
    <mergeCell ref="I2:L2"/>
    <mergeCell ref="O3:S3"/>
  </mergeCells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AML66"/>
  <sheetViews>
    <sheetView showGridLines="0" zoomScaleNormal="100" workbookViewId="0">
      <selection activeCell="A2" sqref="A2:E10"/>
    </sheetView>
  </sheetViews>
  <sheetFormatPr defaultRowHeight="18" x14ac:dyDescent="0.25"/>
  <cols>
    <col min="1" max="1" width="14.5703125" style="6" customWidth="1"/>
    <col min="2" max="2" width="15.5703125" style="7" customWidth="1"/>
    <col min="3" max="3" width="15.7109375" style="7" customWidth="1"/>
    <col min="4" max="4" width="15.85546875" style="7" customWidth="1"/>
    <col min="5" max="5" width="19.28515625" style="3" customWidth="1"/>
    <col min="6" max="6" width="55.140625" style="3" customWidth="1"/>
    <col min="7" max="7" width="8.85546875" style="6" customWidth="1"/>
    <col min="8" max="8" width="54.7109375" style="6" customWidth="1"/>
    <col min="9" max="11" width="8.85546875" style="6" customWidth="1"/>
    <col min="12" max="12" width="65.7109375" style="6" customWidth="1"/>
    <col min="13" max="1026" width="8.85546875" style="6" customWidth="1"/>
  </cols>
  <sheetData>
    <row r="1" spans="1:47" ht="15" customHeight="1" x14ac:dyDescent="0.25">
      <c r="A1" s="8"/>
      <c r="B1" s="439"/>
      <c r="C1" s="9"/>
      <c r="D1" s="9"/>
    </row>
    <row r="2" spans="1:47" ht="15" customHeight="1" x14ac:dyDescent="0.25">
      <c r="A2" s="611" t="s">
        <v>177</v>
      </c>
      <c r="B2" s="611"/>
      <c r="C2" s="611"/>
      <c r="D2" s="611"/>
      <c r="E2" s="611"/>
    </row>
    <row r="3" spans="1:47" ht="15" customHeight="1" x14ac:dyDescent="0.25">
      <c r="A3" s="156"/>
      <c r="B3" s="157"/>
      <c r="C3" s="156"/>
      <c r="D3" s="157"/>
      <c r="E3" s="165"/>
    </row>
    <row r="4" spans="1:47" ht="15" customHeight="1" x14ac:dyDescent="0.25">
      <c r="A4" s="162"/>
      <c r="B4" s="157"/>
      <c r="C4" s="157"/>
      <c r="D4" s="155" t="s">
        <v>176</v>
      </c>
      <c r="E4" s="159"/>
    </row>
    <row r="5" spans="1:47" ht="15" customHeight="1" thickBot="1" x14ac:dyDescent="0.3">
      <c r="A5" s="191" t="s">
        <v>174</v>
      </c>
      <c r="B5" s="192" t="s">
        <v>2</v>
      </c>
      <c r="C5" s="192" t="s">
        <v>3</v>
      </c>
      <c r="D5" s="192" t="s">
        <v>4</v>
      </c>
      <c r="E5" s="191" t="s">
        <v>5</v>
      </c>
    </row>
    <row r="6" spans="1:47" ht="15" customHeight="1" thickTop="1" x14ac:dyDescent="0.25">
      <c r="A6" s="159"/>
      <c r="B6" s="407"/>
      <c r="C6" s="160"/>
      <c r="D6" s="160"/>
      <c r="E6" s="160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15" customHeight="1" x14ac:dyDescent="0.25">
      <c r="A7" s="166" t="s">
        <v>108</v>
      </c>
      <c r="B7" s="157" t="s">
        <v>106</v>
      </c>
      <c r="C7" s="157" t="s">
        <v>7</v>
      </c>
      <c r="D7" s="163">
        <v>1</v>
      </c>
      <c r="E7" s="165" t="s">
        <v>105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</row>
    <row r="8" spans="1:47" ht="15" customHeight="1" x14ac:dyDescent="0.25">
      <c r="A8" s="166" t="s">
        <v>108</v>
      </c>
      <c r="B8" s="157" t="s">
        <v>107</v>
      </c>
      <c r="C8" s="157" t="s">
        <v>7</v>
      </c>
      <c r="D8" s="163">
        <v>1</v>
      </c>
      <c r="E8" s="165" t="s">
        <v>105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</row>
    <row r="9" spans="1:47" ht="15" customHeight="1" thickBot="1" x14ac:dyDescent="0.3">
      <c r="A9" s="193"/>
      <c r="B9" s="158"/>
      <c r="C9" s="158"/>
      <c r="D9" s="194"/>
      <c r="E9" s="194"/>
      <c r="G9" s="3"/>
      <c r="H9" s="19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</row>
    <row r="10" spans="1:47" s="17" customFormat="1" ht="15" customHeight="1" x14ac:dyDescent="0.25">
      <c r="A10" s="159" t="s">
        <v>163</v>
      </c>
      <c r="B10" s="407"/>
      <c r="C10" s="160"/>
      <c r="D10" s="168">
        <f>SUM(D7:D8)</f>
        <v>2</v>
      </c>
      <c r="E10" s="16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</row>
    <row r="11" spans="1:47" ht="16.7" customHeight="1" x14ac:dyDescent="0.25">
      <c r="A11" s="169"/>
      <c r="B11" s="170"/>
      <c r="C11" s="170"/>
      <c r="D11" s="170"/>
      <c r="E11" s="165"/>
      <c r="G11" s="3"/>
      <c r="H11" s="15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</row>
    <row r="12" spans="1:47" ht="16.7" customHeight="1" x14ac:dyDescent="0.25">
      <c r="G12" s="3"/>
      <c r="H12" s="1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</row>
    <row r="13" spans="1:47" ht="16.7" customHeight="1" x14ac:dyDescent="0.25">
      <c r="A13" s="11"/>
      <c r="B13" s="182"/>
      <c r="C13" s="9"/>
      <c r="D13" s="9"/>
      <c r="E13" s="12" t="s">
        <v>11</v>
      </c>
      <c r="G13" s="3"/>
      <c r="H13" s="15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</row>
    <row r="14" spans="1:47" ht="16.7" customHeight="1" x14ac:dyDescent="0.25">
      <c r="A14" s="342" t="s">
        <v>235</v>
      </c>
      <c r="B14" s="182"/>
      <c r="C14" s="9"/>
      <c r="D14" s="9"/>
      <c r="E14" s="12"/>
      <c r="G14" s="3"/>
      <c r="H14" s="1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</row>
    <row r="15" spans="1:47" ht="16.899999999999999" customHeight="1" x14ac:dyDescent="0.25">
      <c r="A15" s="343" t="s">
        <v>221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</row>
    <row r="16" spans="1:47" ht="16.899999999999999" customHeight="1" x14ac:dyDescent="0.25"/>
    <row r="17" ht="16.899999999999999" customHeight="1" x14ac:dyDescent="0.25"/>
    <row r="18" ht="16.899999999999999" customHeight="1" x14ac:dyDescent="0.25"/>
    <row r="19" ht="16.899999999999999" customHeight="1" x14ac:dyDescent="0.25"/>
    <row r="20" ht="16.899999999999999" customHeight="1" x14ac:dyDescent="0.25"/>
    <row r="21" ht="16.899999999999999" customHeight="1" x14ac:dyDescent="0.25"/>
    <row r="22" ht="16.899999999999999" customHeight="1" x14ac:dyDescent="0.25"/>
    <row r="23" ht="16.899999999999999" customHeight="1" x14ac:dyDescent="0.25"/>
    <row r="24" ht="16.899999999999999" customHeight="1" x14ac:dyDescent="0.25"/>
    <row r="25" ht="16.899999999999999" customHeight="1" x14ac:dyDescent="0.25"/>
    <row r="26" ht="16.899999999999999" customHeight="1" x14ac:dyDescent="0.25"/>
    <row r="27" ht="16.899999999999999" customHeight="1" x14ac:dyDescent="0.25"/>
    <row r="28" ht="16.899999999999999" customHeight="1" x14ac:dyDescent="0.25"/>
    <row r="29" ht="16.899999999999999" customHeight="1" x14ac:dyDescent="0.25"/>
    <row r="30" ht="16.899999999999999" customHeight="1" x14ac:dyDescent="0.25"/>
    <row r="31" ht="16.899999999999999" customHeight="1" x14ac:dyDescent="0.25"/>
    <row r="32" ht="16.899999999999999" customHeight="1" x14ac:dyDescent="0.25"/>
    <row r="33" ht="16.899999999999999" customHeight="1" x14ac:dyDescent="0.25"/>
    <row r="34" ht="16.899999999999999" customHeight="1" x14ac:dyDescent="0.25"/>
    <row r="35" ht="16.899999999999999" customHeight="1" x14ac:dyDescent="0.25"/>
    <row r="36" ht="16.899999999999999" customHeight="1" x14ac:dyDescent="0.25"/>
    <row r="37" ht="16.899999999999999" customHeight="1" x14ac:dyDescent="0.25"/>
    <row r="38" ht="16.899999999999999" customHeight="1" x14ac:dyDescent="0.25"/>
    <row r="39" ht="16.899999999999999" customHeight="1" x14ac:dyDescent="0.25"/>
    <row r="40" ht="16.899999999999999" customHeight="1" x14ac:dyDescent="0.25"/>
    <row r="41" ht="16.899999999999999" customHeight="1" x14ac:dyDescent="0.25"/>
    <row r="42" ht="16.899999999999999" customHeight="1" x14ac:dyDescent="0.25"/>
    <row r="43" ht="16.899999999999999" customHeight="1" x14ac:dyDescent="0.25"/>
    <row r="44" ht="16.899999999999999" customHeight="1" x14ac:dyDescent="0.25"/>
    <row r="45" ht="16.899999999999999" customHeight="1" x14ac:dyDescent="0.25"/>
    <row r="46" ht="16.899999999999999" customHeight="1" x14ac:dyDescent="0.25"/>
    <row r="47" ht="16.899999999999999" customHeight="1" x14ac:dyDescent="0.25"/>
    <row r="48" ht="16.899999999999999" customHeight="1" x14ac:dyDescent="0.25"/>
    <row r="49" ht="16.899999999999999" customHeight="1" x14ac:dyDescent="0.25"/>
    <row r="50" ht="16.899999999999999" customHeight="1" x14ac:dyDescent="0.25"/>
    <row r="51" ht="16.899999999999999" customHeight="1" x14ac:dyDescent="0.25"/>
    <row r="52" ht="16.899999999999999" customHeight="1" x14ac:dyDescent="0.25"/>
    <row r="53" ht="16.899999999999999" customHeight="1" x14ac:dyDescent="0.25"/>
    <row r="54" ht="16.899999999999999" customHeight="1" x14ac:dyDescent="0.25"/>
    <row r="55" ht="16.899999999999999" customHeight="1" x14ac:dyDescent="0.25"/>
    <row r="56" ht="16.899999999999999" customHeight="1" x14ac:dyDescent="0.25"/>
    <row r="57" ht="16.899999999999999" customHeight="1" x14ac:dyDescent="0.25"/>
    <row r="58" ht="16.899999999999999" customHeight="1" x14ac:dyDescent="0.25"/>
    <row r="59" ht="16.899999999999999" customHeight="1" x14ac:dyDescent="0.25"/>
    <row r="60" ht="16.899999999999999" customHeight="1" x14ac:dyDescent="0.25"/>
    <row r="61" ht="16.899999999999999" customHeight="1" x14ac:dyDescent="0.25"/>
    <row r="62" ht="16.899999999999999" customHeight="1" x14ac:dyDescent="0.25"/>
    <row r="63" ht="16.899999999999999" customHeight="1" x14ac:dyDescent="0.25"/>
    <row r="64" ht="16.899999999999999" customHeight="1" x14ac:dyDescent="0.25"/>
    <row r="65" ht="16.899999999999999" customHeight="1" x14ac:dyDescent="0.25"/>
    <row r="66" ht="16.899999999999999" customHeight="1" x14ac:dyDescent="0.25"/>
  </sheetData>
  <mergeCells count="1">
    <mergeCell ref="A2:E2"/>
  </mergeCells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/>
  </sheetPr>
  <dimension ref="A1:AMJ69"/>
  <sheetViews>
    <sheetView showGridLines="0" zoomScaleNormal="100" workbookViewId="0">
      <selection activeCell="A2" sqref="A2:B9"/>
    </sheetView>
  </sheetViews>
  <sheetFormatPr defaultRowHeight="18" x14ac:dyDescent="0.25"/>
  <cols>
    <col min="1" max="1" width="19.42578125" style="6" customWidth="1"/>
    <col min="2" max="2" width="42.7109375" style="7" customWidth="1"/>
    <col min="3" max="3" width="8.85546875" style="3" customWidth="1"/>
    <col min="4" max="5" width="8.85546875" style="6" customWidth="1"/>
    <col min="6" max="6" width="54.7109375" style="6" customWidth="1"/>
    <col min="7" max="9" width="8.85546875" style="6" customWidth="1"/>
    <col min="10" max="10" width="65.7109375" style="6" customWidth="1"/>
    <col min="11" max="1024" width="8.85546875" style="6" customWidth="1"/>
  </cols>
  <sheetData>
    <row r="1" spans="1:6" ht="15" customHeight="1" x14ac:dyDescent="0.25">
      <c r="A1" s="8"/>
      <c r="B1" s="9"/>
    </row>
    <row r="2" spans="1:6" ht="15" customHeight="1" x14ac:dyDescent="0.25">
      <c r="A2" s="611" t="s">
        <v>152</v>
      </c>
      <c r="B2" s="611"/>
    </row>
    <row r="3" spans="1:6" ht="15" customHeight="1" x14ac:dyDescent="0.25">
      <c r="A3" s="156"/>
      <c r="B3" s="157"/>
    </row>
    <row r="4" spans="1:6" ht="15" customHeight="1" x14ac:dyDescent="0.25">
      <c r="A4" s="162"/>
      <c r="B4" s="155" t="s">
        <v>15</v>
      </c>
    </row>
    <row r="5" spans="1:6" ht="15" customHeight="1" thickBot="1" x14ac:dyDescent="0.3">
      <c r="A5" s="191" t="s">
        <v>174</v>
      </c>
      <c r="B5" s="192" t="s">
        <v>8</v>
      </c>
    </row>
    <row r="6" spans="1:6" ht="15" customHeight="1" thickTop="1" x14ac:dyDescent="0.25">
      <c r="A6" s="159"/>
      <c r="B6" s="160"/>
    </row>
    <row r="7" spans="1:6" ht="15" customHeight="1" x14ac:dyDescent="0.25">
      <c r="A7" s="156" t="s">
        <v>322</v>
      </c>
      <c r="B7" s="458">
        <v>1</v>
      </c>
    </row>
    <row r="8" spans="1:6" ht="15" customHeight="1" thickBot="1" x14ac:dyDescent="0.3">
      <c r="A8" s="193"/>
      <c r="B8" s="194"/>
      <c r="F8" s="18"/>
    </row>
    <row r="9" spans="1:6" ht="15" customHeight="1" x14ac:dyDescent="0.25">
      <c r="A9" s="159" t="s">
        <v>173</v>
      </c>
      <c r="B9" s="168">
        <f>SUM(B7)</f>
        <v>1</v>
      </c>
      <c r="F9" s="15"/>
    </row>
    <row r="10" spans="1:6" ht="16.7" customHeight="1" x14ac:dyDescent="0.25">
      <c r="A10" s="169"/>
      <c r="B10" s="170"/>
    </row>
    <row r="11" spans="1:6" ht="16.7" customHeight="1" x14ac:dyDescent="0.25"/>
    <row r="12" spans="1:6" ht="16.7" customHeight="1" x14ac:dyDescent="0.25">
      <c r="A12" s="343" t="s">
        <v>235</v>
      </c>
    </row>
    <row r="13" spans="1:6" ht="16.7" customHeight="1" x14ac:dyDescent="0.25">
      <c r="A13" s="343" t="s">
        <v>221</v>
      </c>
    </row>
    <row r="14" spans="1:6" ht="16.7" customHeight="1" x14ac:dyDescent="0.25"/>
    <row r="15" spans="1:6" ht="16.7" customHeight="1" x14ac:dyDescent="0.25"/>
    <row r="16" spans="1:6" ht="16.899999999999999" customHeight="1" x14ac:dyDescent="0.25"/>
    <row r="17" ht="16.899999999999999" customHeight="1" x14ac:dyDescent="0.25"/>
    <row r="18" ht="16.899999999999999" customHeight="1" x14ac:dyDescent="0.25"/>
    <row r="19" ht="16.899999999999999" customHeight="1" x14ac:dyDescent="0.25"/>
    <row r="20" ht="16.899999999999999" customHeight="1" x14ac:dyDescent="0.25"/>
    <row r="21" ht="16.899999999999999" customHeight="1" x14ac:dyDescent="0.25"/>
    <row r="22" ht="16.899999999999999" customHeight="1" x14ac:dyDescent="0.25"/>
    <row r="23" ht="16.899999999999999" customHeight="1" x14ac:dyDescent="0.25"/>
    <row r="24" ht="16.899999999999999" customHeight="1" x14ac:dyDescent="0.25"/>
    <row r="25" ht="16.899999999999999" customHeight="1" x14ac:dyDescent="0.25"/>
    <row r="26" ht="16.899999999999999" customHeight="1" x14ac:dyDescent="0.25"/>
    <row r="27" ht="16.899999999999999" customHeight="1" x14ac:dyDescent="0.25"/>
    <row r="28" ht="16.899999999999999" customHeight="1" x14ac:dyDescent="0.25"/>
    <row r="29" ht="16.899999999999999" customHeight="1" x14ac:dyDescent="0.25"/>
    <row r="30" ht="16.899999999999999" customHeight="1" x14ac:dyDescent="0.25"/>
    <row r="31" ht="16.899999999999999" customHeight="1" x14ac:dyDescent="0.25"/>
    <row r="32" ht="16.899999999999999" customHeight="1" x14ac:dyDescent="0.25"/>
    <row r="33" ht="16.899999999999999" customHeight="1" x14ac:dyDescent="0.25"/>
    <row r="34" ht="16.899999999999999" customHeight="1" x14ac:dyDescent="0.25"/>
    <row r="35" ht="16.899999999999999" customHeight="1" x14ac:dyDescent="0.25"/>
    <row r="36" ht="16.899999999999999" customHeight="1" x14ac:dyDescent="0.25"/>
    <row r="37" ht="16.899999999999999" customHeight="1" x14ac:dyDescent="0.25"/>
    <row r="38" ht="16.899999999999999" customHeight="1" x14ac:dyDescent="0.25"/>
    <row r="39" ht="16.899999999999999" customHeight="1" x14ac:dyDescent="0.25"/>
    <row r="40" ht="16.899999999999999" customHeight="1" x14ac:dyDescent="0.25"/>
    <row r="41" ht="16.899999999999999" customHeight="1" x14ac:dyDescent="0.25"/>
    <row r="42" ht="16.899999999999999" customHeight="1" x14ac:dyDescent="0.25"/>
    <row r="43" ht="16.899999999999999" customHeight="1" x14ac:dyDescent="0.25"/>
    <row r="44" ht="16.899999999999999" customHeight="1" x14ac:dyDescent="0.25"/>
    <row r="45" ht="16.899999999999999" customHeight="1" x14ac:dyDescent="0.25"/>
    <row r="46" ht="16.899999999999999" customHeight="1" x14ac:dyDescent="0.25"/>
    <row r="47" ht="16.899999999999999" customHeight="1" x14ac:dyDescent="0.25"/>
    <row r="48" ht="16.899999999999999" customHeight="1" x14ac:dyDescent="0.25"/>
    <row r="49" ht="16.899999999999999" customHeight="1" x14ac:dyDescent="0.25"/>
    <row r="50" ht="16.899999999999999" customHeight="1" x14ac:dyDescent="0.25"/>
    <row r="51" ht="16.899999999999999" customHeight="1" x14ac:dyDescent="0.25"/>
    <row r="52" ht="16.899999999999999" customHeight="1" x14ac:dyDescent="0.25"/>
    <row r="53" ht="16.899999999999999" customHeight="1" x14ac:dyDescent="0.25"/>
    <row r="54" ht="16.899999999999999" customHeight="1" x14ac:dyDescent="0.25"/>
    <row r="55" ht="16.899999999999999" customHeight="1" x14ac:dyDescent="0.25"/>
    <row r="56" ht="16.899999999999999" customHeight="1" x14ac:dyDescent="0.25"/>
    <row r="57" ht="16.899999999999999" customHeight="1" x14ac:dyDescent="0.25"/>
    <row r="58" ht="16.899999999999999" customHeight="1" x14ac:dyDescent="0.25"/>
    <row r="59" ht="16.899999999999999" customHeight="1" x14ac:dyDescent="0.25"/>
    <row r="60" ht="16.899999999999999" customHeight="1" x14ac:dyDescent="0.25"/>
    <row r="61" ht="16.899999999999999" customHeight="1" x14ac:dyDescent="0.25"/>
    <row r="62" ht="16.899999999999999" customHeight="1" x14ac:dyDescent="0.25"/>
    <row r="63" ht="16.899999999999999" customHeight="1" x14ac:dyDescent="0.25"/>
    <row r="64" ht="16.899999999999999" customHeight="1" x14ac:dyDescent="0.25"/>
    <row r="65" ht="16.899999999999999" customHeight="1" x14ac:dyDescent="0.25"/>
    <row r="66" ht="16.899999999999999" customHeight="1" x14ac:dyDescent="0.25"/>
    <row r="67" ht="16.899999999999999" customHeight="1" x14ac:dyDescent="0.25"/>
    <row r="68" ht="16.899999999999999" customHeight="1" x14ac:dyDescent="0.25"/>
    <row r="69" ht="16.899999999999999" customHeight="1" x14ac:dyDescent="0.25"/>
  </sheetData>
  <mergeCells count="1">
    <mergeCell ref="A2:B2"/>
  </mergeCells>
  <pageMargins left="0.7" right="0.7" top="0.75" bottom="0.75" header="0.51180555555555496" footer="0.51180555555555496"/>
  <pageSetup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C4E33-13A1-4474-B342-8C55C275A1A4}">
  <sheetPr>
    <tabColor theme="9"/>
  </sheetPr>
  <dimension ref="A1:E15"/>
  <sheetViews>
    <sheetView showGridLines="0" zoomScaleNormal="100" zoomScaleSheetLayoutView="100" workbookViewId="0">
      <selection activeCell="A2" sqref="A2:B10"/>
    </sheetView>
  </sheetViews>
  <sheetFormatPr defaultRowHeight="12" x14ac:dyDescent="0.2"/>
  <cols>
    <col min="1" max="1" width="21.85546875" style="228" customWidth="1"/>
    <col min="2" max="2" width="19.5703125" style="228" customWidth="1"/>
    <col min="3" max="5" width="9.140625" style="222"/>
    <col min="6" max="16384" width="9.140625" style="228"/>
  </cols>
  <sheetData>
    <row r="1" spans="1:2" ht="15" customHeight="1" x14ac:dyDescent="0.2"/>
    <row r="2" spans="1:2" s="222" customFormat="1" ht="15" customHeight="1" x14ac:dyDescent="0.2">
      <c r="A2" s="612" t="s">
        <v>178</v>
      </c>
      <c r="B2" s="612"/>
    </row>
    <row r="3" spans="1:2" s="222" customFormat="1" ht="15" customHeight="1" x14ac:dyDescent="0.2">
      <c r="A3" s="223"/>
      <c r="B3" s="223"/>
    </row>
    <row r="4" spans="1:2" s="222" customFormat="1" ht="15" customHeight="1" x14ac:dyDescent="0.2">
      <c r="A4" s="224"/>
      <c r="B4" s="225" t="s">
        <v>154</v>
      </c>
    </row>
    <row r="5" spans="1:2" s="222" customFormat="1" ht="15" customHeight="1" x14ac:dyDescent="0.2">
      <c r="A5" s="224"/>
      <c r="B5" s="226" t="s">
        <v>153</v>
      </c>
    </row>
    <row r="6" spans="1:2" s="222" customFormat="1" ht="15" customHeight="1" thickBot="1" x14ac:dyDescent="0.25">
      <c r="A6" s="231" t="s">
        <v>174</v>
      </c>
      <c r="B6" s="230" t="s">
        <v>4</v>
      </c>
    </row>
    <row r="7" spans="1:2" s="222" customFormat="1" ht="15" customHeight="1" thickTop="1" x14ac:dyDescent="0.2">
      <c r="A7" s="204"/>
      <c r="B7" s="205"/>
    </row>
    <row r="8" spans="1:2" s="222" customFormat="1" ht="15" customHeight="1" x14ac:dyDescent="0.2">
      <c r="A8" s="202" t="s">
        <v>322</v>
      </c>
      <c r="B8" s="459">
        <v>1</v>
      </c>
    </row>
    <row r="9" spans="1:2" s="222" customFormat="1" ht="15" customHeight="1" x14ac:dyDescent="0.2">
      <c r="A9" s="214"/>
      <c r="B9" s="234"/>
    </row>
    <row r="10" spans="1:2" s="222" customFormat="1" ht="15" customHeight="1" x14ac:dyDescent="0.2">
      <c r="A10" s="413" t="s">
        <v>173</v>
      </c>
      <c r="B10" s="415">
        <f>SUM(B8)</f>
        <v>1</v>
      </c>
    </row>
    <row r="11" spans="1:2" s="222" customFormat="1" x14ac:dyDescent="0.2">
      <c r="A11" s="227"/>
      <c r="B11" s="227"/>
    </row>
    <row r="14" spans="1:2" ht="12.75" x14ac:dyDescent="0.2">
      <c r="A14" s="343" t="s">
        <v>235</v>
      </c>
    </row>
    <row r="15" spans="1:2" ht="12.75" x14ac:dyDescent="0.2">
      <c r="A15" s="343" t="s">
        <v>221</v>
      </c>
    </row>
  </sheetData>
  <mergeCells count="1">
    <mergeCell ref="A2:B2"/>
  </mergeCells>
  <pageMargins left="0.75" right="0.75" top="1" bottom="1" header="0.5" footer="0.5"/>
  <pageSetup paperSize="17" scale="90" fitToHeight="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/>
  </sheetPr>
  <dimension ref="A1:Y53"/>
  <sheetViews>
    <sheetView showGridLines="0" zoomScaleNormal="100" workbookViewId="0">
      <selection activeCell="A2" sqref="A2:E13"/>
    </sheetView>
  </sheetViews>
  <sheetFormatPr defaultRowHeight="15" x14ac:dyDescent="0.25"/>
  <cols>
    <col min="1" max="1" width="12.7109375" customWidth="1"/>
    <col min="2" max="2" width="22.5703125" customWidth="1"/>
    <col min="3" max="3" width="13.28515625" customWidth="1"/>
    <col min="4" max="4" width="17.140625" customWidth="1"/>
    <col min="5" max="5" width="26.7109375" style="1" customWidth="1"/>
    <col min="6" max="6" width="27.5703125" style="1" customWidth="1"/>
    <col min="7" max="7" width="10.5703125" customWidth="1"/>
    <col min="8" max="8" width="11.28515625" customWidth="1"/>
    <col min="9" max="10" width="8.7109375" customWidth="1"/>
    <col min="11" max="11" width="17.7109375" customWidth="1"/>
    <col min="12" max="16" width="8.7109375" customWidth="1"/>
    <col min="17" max="17" width="32.85546875" customWidth="1"/>
    <col min="18" max="18" width="8.7109375" customWidth="1"/>
    <col min="19" max="19" width="16" customWidth="1"/>
    <col min="20" max="20" width="27.85546875" customWidth="1"/>
    <col min="21" max="21" width="12.42578125" customWidth="1"/>
    <col min="22" max="23" width="8.7109375" customWidth="1"/>
    <col min="24" max="24" width="13.140625" customWidth="1"/>
    <col min="25" max="1025" width="8.7109375" customWidth="1"/>
  </cols>
  <sheetData>
    <row r="1" spans="1:19" ht="15" customHeight="1" x14ac:dyDescent="0.25">
      <c r="A1" s="31"/>
      <c r="B1" s="31"/>
      <c r="C1" s="32"/>
      <c r="D1" s="32"/>
      <c r="E1" s="13"/>
      <c r="F1" s="13"/>
      <c r="G1" s="9"/>
      <c r="H1" s="6"/>
    </row>
    <row r="2" spans="1:19" ht="15" customHeight="1" x14ac:dyDescent="0.25">
      <c r="A2" s="196" t="s">
        <v>16</v>
      </c>
      <c r="B2" s="196"/>
      <c r="C2" s="197"/>
      <c r="D2" s="198"/>
      <c r="E2" s="198"/>
      <c r="Q2" s="394" t="s">
        <v>303</v>
      </c>
      <c r="R2" s="352"/>
      <c r="S2" s="352"/>
    </row>
    <row r="3" spans="1:19" ht="15" customHeight="1" x14ac:dyDescent="0.25">
      <c r="A3" s="156"/>
      <c r="B3" s="156"/>
      <c r="C3" s="156"/>
      <c r="D3" s="157"/>
      <c r="E3" s="160"/>
      <c r="K3" s="33"/>
      <c r="L3" s="33" t="s">
        <v>17</v>
      </c>
      <c r="M3" s="33" t="s">
        <v>18</v>
      </c>
      <c r="N3" s="33" t="s">
        <v>19</v>
      </c>
      <c r="O3" s="33" t="s">
        <v>20</v>
      </c>
      <c r="P3" s="33"/>
      <c r="Q3" s="1"/>
      <c r="R3" s="1"/>
      <c r="S3" s="75" t="s">
        <v>289</v>
      </c>
    </row>
    <row r="4" spans="1:19" ht="15" customHeight="1" x14ac:dyDescent="0.25">
      <c r="A4" s="156"/>
      <c r="B4" s="156"/>
      <c r="C4" s="156"/>
      <c r="D4" s="155">
        <v>305.01100000000002</v>
      </c>
      <c r="E4" s="175"/>
      <c r="K4" s="34" t="s">
        <v>21</v>
      </c>
      <c r="L4" s="33">
        <v>175.68</v>
      </c>
      <c r="M4" s="33">
        <f>L4*0.3333333333</f>
        <v>58.559999994144</v>
      </c>
      <c r="N4" s="33">
        <f>M4/27</f>
        <v>2.1688888886719999</v>
      </c>
      <c r="O4" s="33">
        <f>N4*2</f>
        <v>4.3377777773439998</v>
      </c>
      <c r="P4" s="33"/>
      <c r="Q4" s="1"/>
      <c r="R4" s="75"/>
      <c r="S4" s="75" t="s">
        <v>293</v>
      </c>
    </row>
    <row r="5" spans="1:19" ht="15" customHeight="1" thickBot="1" x14ac:dyDescent="0.3">
      <c r="A5" s="156"/>
      <c r="B5" s="156"/>
      <c r="C5" s="156"/>
      <c r="D5" s="155" t="s">
        <v>22</v>
      </c>
      <c r="E5" s="175"/>
      <c r="K5" s="34"/>
      <c r="L5" s="33"/>
      <c r="M5" s="33"/>
      <c r="N5" s="33"/>
      <c r="O5" s="33"/>
      <c r="P5" s="33"/>
      <c r="Q5" s="1"/>
      <c r="R5" s="75" t="s">
        <v>3</v>
      </c>
      <c r="S5" s="75" t="s">
        <v>14</v>
      </c>
    </row>
    <row r="6" spans="1:19" ht="15" customHeight="1" thickTop="1" x14ac:dyDescent="0.25">
      <c r="A6" s="156"/>
      <c r="B6" s="156"/>
      <c r="C6" s="156"/>
      <c r="D6" s="155" t="s">
        <v>23</v>
      </c>
      <c r="E6" s="175"/>
      <c r="K6" s="34"/>
      <c r="L6" s="33"/>
      <c r="M6" s="33"/>
      <c r="N6" s="33"/>
      <c r="O6" s="33"/>
      <c r="P6" s="33"/>
      <c r="Q6" s="349" t="s">
        <v>283</v>
      </c>
      <c r="R6" s="350" t="s">
        <v>7</v>
      </c>
      <c r="S6" s="350">
        <v>1430</v>
      </c>
    </row>
    <row r="7" spans="1:19" ht="15" customHeight="1" x14ac:dyDescent="0.25">
      <c r="A7" s="156"/>
      <c r="B7" s="156"/>
      <c r="C7" s="156"/>
      <c r="D7" s="155" t="s">
        <v>24</v>
      </c>
      <c r="E7" s="175"/>
      <c r="K7" s="34"/>
      <c r="L7" s="33"/>
      <c r="M7" s="33"/>
      <c r="N7" s="33"/>
      <c r="O7" s="33"/>
      <c r="P7" s="33"/>
      <c r="Q7" t="s">
        <v>284</v>
      </c>
      <c r="R7" s="75" t="s">
        <v>6</v>
      </c>
      <c r="S7" s="75">
        <v>4877</v>
      </c>
    </row>
    <row r="8" spans="1:19" ht="15" customHeight="1" x14ac:dyDescent="0.25">
      <c r="A8" s="162"/>
      <c r="B8" s="162"/>
      <c r="C8" s="157"/>
      <c r="D8" s="155" t="s">
        <v>25</v>
      </c>
      <c r="E8" s="175"/>
      <c r="K8" s="34" t="s">
        <v>26</v>
      </c>
      <c r="L8" s="35">
        <v>128.18</v>
      </c>
      <c r="M8" s="33">
        <f>L8*0.3333333333</f>
        <v>42.726666662394003</v>
      </c>
      <c r="N8" s="33">
        <f t="shared" ref="N8:N21" si="0">M8/27</f>
        <v>1.5824691356442224</v>
      </c>
      <c r="O8" s="33">
        <f t="shared" ref="O8:O21" si="1">N8*2</f>
        <v>3.1649382712884448</v>
      </c>
      <c r="P8" s="33"/>
      <c r="Q8" t="s">
        <v>285</v>
      </c>
      <c r="R8" s="75" t="s">
        <v>7</v>
      </c>
      <c r="S8" s="75">
        <v>3294</v>
      </c>
    </row>
    <row r="9" spans="1:19" ht="15" customHeight="1" thickBot="1" x14ac:dyDescent="0.3">
      <c r="A9" s="191" t="s">
        <v>174</v>
      </c>
      <c r="B9" s="192" t="s">
        <v>9</v>
      </c>
      <c r="C9" s="192" t="s">
        <v>3</v>
      </c>
      <c r="D9" s="192" t="s">
        <v>27</v>
      </c>
      <c r="E9" s="218" t="s">
        <v>5</v>
      </c>
      <c r="K9" s="34" t="s">
        <v>28</v>
      </c>
      <c r="L9" s="35">
        <v>460.77</v>
      </c>
      <c r="M9" s="33">
        <f>L9*0.3333333333</f>
        <v>153.589999984641</v>
      </c>
      <c r="N9" s="33">
        <f t="shared" si="0"/>
        <v>5.6885185179496665</v>
      </c>
      <c r="O9" s="33">
        <f t="shared" si="1"/>
        <v>11.377037035899333</v>
      </c>
      <c r="P9" s="33"/>
      <c r="Q9" t="s">
        <v>290</v>
      </c>
      <c r="R9" s="75" t="s">
        <v>6</v>
      </c>
      <c r="S9" s="75">
        <v>7180</v>
      </c>
    </row>
    <row r="10" spans="1:19" ht="15" customHeight="1" thickTop="1" x14ac:dyDescent="0.25">
      <c r="A10" s="159"/>
      <c r="B10" s="159"/>
      <c r="C10" s="160"/>
      <c r="D10" s="160"/>
      <c r="E10" s="160"/>
      <c r="K10" s="34" t="s">
        <v>29</v>
      </c>
      <c r="L10" s="34">
        <v>150.24</v>
      </c>
      <c r="M10" s="33">
        <f>L10*0.3333333333</f>
        <v>50.079999994992001</v>
      </c>
      <c r="N10" s="33">
        <f t="shared" si="0"/>
        <v>1.8548148146293333</v>
      </c>
      <c r="O10" s="33">
        <f t="shared" si="1"/>
        <v>3.7096296292586666</v>
      </c>
      <c r="P10" s="33"/>
      <c r="Q10" t="s">
        <v>292</v>
      </c>
      <c r="R10" s="75" t="s">
        <v>7</v>
      </c>
      <c r="S10" s="75">
        <v>5901</v>
      </c>
    </row>
    <row r="11" spans="1:19" ht="15" customHeight="1" x14ac:dyDescent="0.25">
      <c r="A11" s="174" t="s">
        <v>108</v>
      </c>
      <c r="B11" s="161" t="s">
        <v>278</v>
      </c>
      <c r="C11" s="160" t="s">
        <v>13</v>
      </c>
      <c r="D11" s="468">
        <v>3392</v>
      </c>
      <c r="E11" s="174" t="s">
        <v>102</v>
      </c>
      <c r="K11" s="34" t="s">
        <v>30</v>
      </c>
      <c r="L11" s="34">
        <v>200.6</v>
      </c>
      <c r="M11" s="33">
        <f>L11*0.3333333333</f>
        <v>66.866666659979998</v>
      </c>
      <c r="N11" s="33">
        <f t="shared" si="0"/>
        <v>2.4765432096288889</v>
      </c>
      <c r="O11" s="33">
        <f t="shared" si="1"/>
        <v>4.9530864192577777</v>
      </c>
      <c r="P11" s="33"/>
      <c r="Q11" t="s">
        <v>227</v>
      </c>
      <c r="R11" s="75" t="s">
        <v>227</v>
      </c>
      <c r="S11" s="75" t="s">
        <v>227</v>
      </c>
    </row>
    <row r="12" spans="1:19" ht="15" customHeight="1" x14ac:dyDescent="0.25">
      <c r="A12" s="401"/>
      <c r="B12" s="401"/>
      <c r="C12" s="159"/>
      <c r="D12" s="159"/>
      <c r="E12" s="159"/>
      <c r="K12" s="34"/>
      <c r="L12" s="34"/>
      <c r="M12" s="33"/>
      <c r="N12" s="33"/>
      <c r="O12" s="33"/>
      <c r="P12" s="33"/>
      <c r="Q12" t="s">
        <v>291</v>
      </c>
      <c r="R12" s="75" t="s">
        <v>7</v>
      </c>
      <c r="S12" s="75">
        <v>1187</v>
      </c>
    </row>
    <row r="13" spans="1:19" ht="15" customHeight="1" x14ac:dyDescent="0.25">
      <c r="A13" s="410" t="s">
        <v>163</v>
      </c>
      <c r="B13" s="410"/>
      <c r="C13" s="411"/>
      <c r="D13" s="436">
        <f>SUM(D11:D11)</f>
        <v>3392</v>
      </c>
      <c r="E13" s="411"/>
      <c r="K13" s="34"/>
      <c r="L13" s="34"/>
      <c r="M13" s="33"/>
      <c r="N13" s="33"/>
      <c r="O13" s="33"/>
      <c r="P13" s="33"/>
      <c r="Q13" t="s">
        <v>286</v>
      </c>
      <c r="R13" s="75" t="s">
        <v>6</v>
      </c>
      <c r="S13" s="75">
        <v>9097</v>
      </c>
    </row>
    <row r="14" spans="1:19" ht="16.7" customHeight="1" x14ac:dyDescent="0.25">
      <c r="A14" s="164"/>
      <c r="B14" s="164"/>
      <c r="C14" s="164"/>
      <c r="D14" s="164"/>
      <c r="E14" s="195"/>
      <c r="K14" s="36" t="s">
        <v>31</v>
      </c>
      <c r="L14" s="37">
        <v>1121.95</v>
      </c>
      <c r="M14" s="38">
        <f>L14*0.333333333+L34</f>
        <v>535.60140495934968</v>
      </c>
      <c r="N14" s="38">
        <f t="shared" si="0"/>
        <v>19.837089072568507</v>
      </c>
      <c r="O14" s="39">
        <f t="shared" si="1"/>
        <v>39.674178145137013</v>
      </c>
      <c r="P14" s="33"/>
      <c r="Q14" t="s">
        <v>287</v>
      </c>
      <c r="R14" s="75" t="s">
        <v>7</v>
      </c>
      <c r="S14" s="75">
        <v>8314</v>
      </c>
    </row>
    <row r="15" spans="1:19" ht="16.7" customHeight="1" thickBot="1" x14ac:dyDescent="0.3">
      <c r="A15" s="49"/>
      <c r="B15" s="49"/>
      <c r="C15" s="49"/>
      <c r="D15" s="49"/>
      <c r="E15" s="47"/>
      <c r="K15" s="40" t="s">
        <v>32</v>
      </c>
      <c r="L15" s="34">
        <v>1000.62</v>
      </c>
      <c r="M15" s="35">
        <f>L15*0.333333333+N34</f>
        <v>423.54395766645916</v>
      </c>
      <c r="N15" s="35">
        <f t="shared" si="0"/>
        <v>15.686813246905896</v>
      </c>
      <c r="O15" s="41">
        <f t="shared" si="1"/>
        <v>31.373626493811791</v>
      </c>
      <c r="P15" s="33"/>
      <c r="Q15" s="1" t="s">
        <v>288</v>
      </c>
      <c r="R15" s="25" t="s">
        <v>7</v>
      </c>
      <c r="S15" s="25">
        <v>636</v>
      </c>
    </row>
    <row r="16" spans="1:19" ht="16.7" customHeight="1" thickTop="1" x14ac:dyDescent="0.25">
      <c r="A16" t="s">
        <v>220</v>
      </c>
      <c r="E16" s="34"/>
      <c r="K16" s="40" t="s">
        <v>33</v>
      </c>
      <c r="L16" s="35">
        <v>812.22</v>
      </c>
      <c r="M16" s="35">
        <f>L16*0.333333333+N35</f>
        <v>344.06994672926032</v>
      </c>
      <c r="N16" s="35">
        <f t="shared" si="0"/>
        <v>12.743331360342975</v>
      </c>
      <c r="O16" s="41">
        <f t="shared" si="1"/>
        <v>25.486662720685949</v>
      </c>
      <c r="P16" s="33"/>
      <c r="Q16" s="349"/>
      <c r="R16" s="350"/>
      <c r="S16" s="350">
        <f>SUM(S6:S15)</f>
        <v>41916</v>
      </c>
    </row>
    <row r="17" spans="1:25" s="1" customFormat="1" ht="16.7" customHeight="1" x14ac:dyDescent="0.25">
      <c r="A17" s="1" t="s">
        <v>221</v>
      </c>
      <c r="B17" s="47"/>
      <c r="C17" s="47"/>
      <c r="D17" s="47"/>
      <c r="E17" s="34"/>
      <c r="K17" s="35" t="s">
        <v>34</v>
      </c>
      <c r="L17" s="35">
        <v>676.98</v>
      </c>
      <c r="M17" s="35">
        <f>L17*0.333333333+L35</f>
        <v>322.35505977434252</v>
      </c>
      <c r="N17" s="35">
        <f t="shared" si="0"/>
        <v>11.939076287938612</v>
      </c>
      <c r="O17" s="35">
        <f t="shared" si="1"/>
        <v>23.878152575877223</v>
      </c>
    </row>
    <row r="18" spans="1:25" s="1" customFormat="1" ht="16.7" customHeight="1" x14ac:dyDescent="0.25">
      <c r="A18" s="49"/>
      <c r="B18" s="49"/>
      <c r="C18" s="49"/>
      <c r="D18" s="49"/>
      <c r="E18" s="47"/>
      <c r="K18" s="40" t="s">
        <v>31</v>
      </c>
      <c r="L18" s="35">
        <v>2205.4899999999998</v>
      </c>
      <c r="M18" s="35">
        <f>L18*0.66666667+H34</f>
        <v>1815.9787500182972</v>
      </c>
      <c r="N18" s="35">
        <f t="shared" si="0"/>
        <v>67.258472222899897</v>
      </c>
      <c r="O18" s="41">
        <f t="shared" si="1"/>
        <v>134.51694444579979</v>
      </c>
      <c r="Q18" s="269" t="s">
        <v>306</v>
      </c>
    </row>
    <row r="19" spans="1:25" ht="16.7" customHeight="1" x14ac:dyDescent="0.25">
      <c r="A19" s="49"/>
      <c r="B19" s="49"/>
      <c r="C19" s="49"/>
      <c r="D19" s="49"/>
      <c r="E19" s="47"/>
      <c r="K19" s="40" t="s">
        <v>32</v>
      </c>
      <c r="L19" s="34">
        <v>2341.1</v>
      </c>
      <c r="M19" s="35">
        <f>L19*0.6666666667+J34</f>
        <v>1755.2185314113701</v>
      </c>
      <c r="N19" s="35">
        <f t="shared" si="0"/>
        <v>65.008093755976674</v>
      </c>
      <c r="O19" s="41">
        <f t="shared" si="1"/>
        <v>130.01618751195335</v>
      </c>
      <c r="P19" s="33"/>
      <c r="Q19" s="396" t="s">
        <v>304</v>
      </c>
      <c r="Y19">
        <v>0.90900000000000003</v>
      </c>
    </row>
    <row r="20" spans="1:25" ht="16.7" customHeight="1" x14ac:dyDescent="0.25">
      <c r="A20" s="49"/>
      <c r="B20" s="49"/>
      <c r="C20" s="49"/>
      <c r="D20" s="49">
        <f>0.04166667*21621.2*7</f>
        <v>6306.1838378280008</v>
      </c>
      <c r="E20" s="47"/>
      <c r="K20" s="40" t="s">
        <v>33</v>
      </c>
      <c r="L20" s="34">
        <v>1912.11</v>
      </c>
      <c r="M20" s="35">
        <f>L20*0.666666667+J35</f>
        <v>1435.4473026373696</v>
      </c>
      <c r="N20" s="35">
        <f t="shared" si="0"/>
        <v>53.164714912495171</v>
      </c>
      <c r="O20" s="41">
        <f t="shared" si="1"/>
        <v>106.32942982499034</v>
      </c>
      <c r="P20" s="33"/>
      <c r="Q20" s="269" t="s">
        <v>255</v>
      </c>
      <c r="S20" s="75">
        <v>437</v>
      </c>
    </row>
    <row r="21" spans="1:25" ht="16.7" customHeight="1" thickBot="1" x14ac:dyDescent="0.3">
      <c r="A21" s="49"/>
      <c r="B21" s="49"/>
      <c r="C21" s="49"/>
      <c r="D21" s="49">
        <f>D20/27</f>
        <v>233.56236436400002</v>
      </c>
      <c r="E21" s="34"/>
      <c r="K21" s="42" t="s">
        <v>34</v>
      </c>
      <c r="L21" s="45">
        <v>963.69</v>
      </c>
      <c r="M21" s="43">
        <f>L21*0.6666666667+H35</f>
        <v>835.85012003212796</v>
      </c>
      <c r="N21" s="43">
        <f t="shared" si="0"/>
        <v>30.957411853041776</v>
      </c>
      <c r="O21" s="44">
        <f t="shared" si="1"/>
        <v>61.914823706083553</v>
      </c>
      <c r="P21" s="33"/>
      <c r="Q21" s="317" t="s">
        <v>305</v>
      </c>
      <c r="R21" s="317"/>
      <c r="S21" s="332">
        <v>632</v>
      </c>
    </row>
    <row r="22" spans="1:25" ht="16.7" customHeight="1" thickTop="1" x14ac:dyDescent="0.25">
      <c r="A22" s="49"/>
      <c r="B22" s="49"/>
      <c r="C22" s="49"/>
      <c r="D22" s="49">
        <f>D21*2</f>
        <v>467.12472872800004</v>
      </c>
      <c r="E22" s="34"/>
      <c r="P22" s="46"/>
      <c r="S22" s="75">
        <f>SUM(S20:S21)</f>
        <v>1069</v>
      </c>
    </row>
    <row r="23" spans="1:25" ht="16.7" customHeight="1" x14ac:dyDescent="0.25">
      <c r="P23" s="30"/>
    </row>
    <row r="24" spans="1:25" ht="16.7" customHeight="1" x14ac:dyDescent="0.25">
      <c r="F24" s="47"/>
      <c r="P24" s="30"/>
      <c r="S24" s="75" t="s">
        <v>14</v>
      </c>
      <c r="T24" s="75" t="s">
        <v>311</v>
      </c>
      <c r="U24" s="75" t="s">
        <v>308</v>
      </c>
      <c r="V24" s="75" t="s">
        <v>309</v>
      </c>
      <c r="W24" s="372" t="s">
        <v>310</v>
      </c>
    </row>
    <row r="25" spans="1:25" ht="16.7" customHeight="1" x14ac:dyDescent="0.25">
      <c r="F25" s="47"/>
      <c r="Q25" s="397" t="s">
        <v>307</v>
      </c>
      <c r="R25" s="1"/>
      <c r="S25" s="398">
        <f>SUM(S16-S22)</f>
        <v>40847</v>
      </c>
      <c r="T25" s="75">
        <v>0.4461</v>
      </c>
      <c r="U25" s="399">
        <f>SUM(S25*T25)</f>
        <v>18221.846699999998</v>
      </c>
      <c r="V25" s="399">
        <f>SUM(U25)/27</f>
        <v>674.883211111111</v>
      </c>
      <c r="W25" s="372">
        <f>SUM(V25)*2.1</f>
        <v>1417.2547433333332</v>
      </c>
      <c r="X25" t="s">
        <v>312</v>
      </c>
    </row>
    <row r="26" spans="1:25" x14ac:dyDescent="0.25">
      <c r="F26" s="47"/>
      <c r="T26" s="75">
        <v>0.90900000000000003</v>
      </c>
      <c r="U26" s="399">
        <f>SUM(S25*T26)</f>
        <v>37129.923000000003</v>
      </c>
      <c r="V26" s="399">
        <f>SUM(U26)/27</f>
        <v>1375.1823333333334</v>
      </c>
      <c r="W26" s="372">
        <f>SUM(V26)*2.1</f>
        <v>2887.8829000000005</v>
      </c>
      <c r="X26" t="s">
        <v>313</v>
      </c>
    </row>
    <row r="27" spans="1:25" ht="15" customHeight="1" x14ac:dyDescent="0.25">
      <c r="C27" s="394"/>
      <c r="D27" s="394"/>
      <c r="E27" s="395"/>
      <c r="F27" s="34"/>
    </row>
    <row r="28" spans="1:25" ht="8.25" customHeight="1" x14ac:dyDescent="0.25">
      <c r="F28" s="34"/>
    </row>
    <row r="29" spans="1:25" ht="15" customHeight="1" x14ac:dyDescent="0.25">
      <c r="F29" s="34"/>
      <c r="S29" s="394" t="s">
        <v>302</v>
      </c>
    </row>
    <row r="30" spans="1:25" x14ac:dyDescent="0.25">
      <c r="F30" s="34"/>
    </row>
    <row r="31" spans="1:25" x14ac:dyDescent="0.25">
      <c r="F31" s="34"/>
    </row>
    <row r="32" spans="1:25" x14ac:dyDescent="0.25">
      <c r="F32" s="34"/>
    </row>
    <row r="33" spans="6:24" x14ac:dyDescent="0.25">
      <c r="F33" s="34"/>
      <c r="G33" s="613" t="s">
        <v>35</v>
      </c>
      <c r="H33" s="613"/>
      <c r="I33" s="613" t="s">
        <v>36</v>
      </c>
      <c r="J33" s="613"/>
      <c r="K33" s="613" t="s">
        <v>37</v>
      </c>
      <c r="L33" s="613"/>
      <c r="M33" s="613" t="s">
        <v>38</v>
      </c>
      <c r="N33" s="613"/>
      <c r="Q33" s="397"/>
      <c r="R33" s="1"/>
      <c r="S33" s="398" t="s">
        <v>227</v>
      </c>
      <c r="T33" s="75" t="s">
        <v>227</v>
      </c>
      <c r="U33" s="399" t="s">
        <v>227</v>
      </c>
      <c r="V33" s="399" t="s">
        <v>227</v>
      </c>
      <c r="W33" s="372" t="s">
        <v>227</v>
      </c>
      <c r="X33" t="s">
        <v>227</v>
      </c>
    </row>
    <row r="34" spans="6:24" x14ac:dyDescent="0.25">
      <c r="G34" s="50">
        <f>55028.46-54725.15</f>
        <v>303.30999999999767</v>
      </c>
      <c r="H34" s="51">
        <f>G34*1.1396</f>
        <v>345.65207599999735</v>
      </c>
      <c r="I34" s="50">
        <f>55029.11-54762.18</f>
        <v>266.93000000000029</v>
      </c>
      <c r="J34" s="51">
        <f>I34*0.7286</f>
        <v>194.48519800000022</v>
      </c>
      <c r="K34" s="50">
        <f>55008.79-54725.15</f>
        <v>283.63999999999942</v>
      </c>
      <c r="L34" s="51">
        <f>K34*0.5698</f>
        <v>161.61807199999967</v>
      </c>
      <c r="M34" s="50">
        <f>55009.24-54762.18</f>
        <v>247.05999999999767</v>
      </c>
      <c r="N34" s="51">
        <f>M34*0.3643</f>
        <v>90.003957999999159</v>
      </c>
      <c r="T34" s="75" t="s">
        <v>227</v>
      </c>
      <c r="U34" s="399" t="s">
        <v>227</v>
      </c>
      <c r="V34" s="399" t="s">
        <v>227</v>
      </c>
      <c r="W34" s="372" t="s">
        <v>227</v>
      </c>
      <c r="X34" t="s">
        <v>227</v>
      </c>
    </row>
    <row r="35" spans="6:24" x14ac:dyDescent="0.25">
      <c r="G35" s="52">
        <f>55348.05-55178.35</f>
        <v>169.70000000000437</v>
      </c>
      <c r="H35" s="53">
        <f>G35*1.1396</f>
        <v>193.39012000000497</v>
      </c>
      <c r="I35" s="52">
        <f>55381.19-55160.62</f>
        <v>220.56999999999971</v>
      </c>
      <c r="J35" s="53">
        <f>I35*0.7286</f>
        <v>160.7073019999998</v>
      </c>
      <c r="K35" s="52">
        <f>55348.05-55178.35</f>
        <v>169.70000000000437</v>
      </c>
      <c r="L35" s="53">
        <f>K35*0.5698</f>
        <v>96.695060000002485</v>
      </c>
      <c r="M35" s="52">
        <f>55381.19-55179.9</f>
        <v>201.29000000000087</v>
      </c>
      <c r="N35" s="53">
        <f>M35*0.3643</f>
        <v>73.329947000000317</v>
      </c>
      <c r="W35" t="s">
        <v>227</v>
      </c>
    </row>
    <row r="37" spans="6:24" ht="8.25" customHeight="1" x14ac:dyDescent="0.25"/>
    <row r="38" spans="6:24" ht="8.25" customHeight="1" x14ac:dyDescent="0.25"/>
    <row r="39" spans="6:24" ht="8.25" customHeight="1" x14ac:dyDescent="0.25"/>
    <row r="40" spans="6:24" ht="8.25" customHeight="1" x14ac:dyDescent="0.25"/>
    <row r="41" spans="6:24" ht="8.25" customHeight="1" x14ac:dyDescent="0.25"/>
    <row r="42" spans="6:24" ht="8.25" customHeight="1" x14ac:dyDescent="0.25"/>
    <row r="43" spans="6:24" ht="8.25" customHeight="1" x14ac:dyDescent="0.25"/>
    <row r="44" spans="6:24" ht="8.25" customHeight="1" x14ac:dyDescent="0.25"/>
    <row r="45" spans="6:24" ht="8.25" customHeight="1" x14ac:dyDescent="0.25"/>
    <row r="46" spans="6:24" ht="8.25" customHeight="1" x14ac:dyDescent="0.25"/>
    <row r="47" spans="6:24" ht="8.25" customHeight="1" x14ac:dyDescent="0.25"/>
    <row r="48" spans="6:24" ht="8.25" customHeight="1" x14ac:dyDescent="0.25"/>
    <row r="49" ht="8.25" customHeight="1" x14ac:dyDescent="0.25"/>
    <row r="50" ht="8.25" customHeight="1" x14ac:dyDescent="0.25"/>
    <row r="51" ht="8.25" customHeight="1" x14ac:dyDescent="0.25"/>
    <row r="52" ht="8.25" customHeight="1" x14ac:dyDescent="0.25"/>
    <row r="53" ht="8.25" customHeight="1" x14ac:dyDescent="0.25"/>
  </sheetData>
  <mergeCells count="4">
    <mergeCell ref="G33:H33"/>
    <mergeCell ref="I33:J33"/>
    <mergeCell ref="K33:L33"/>
    <mergeCell ref="M33:N33"/>
  </mergeCells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Y37"/>
  <sheetViews>
    <sheetView showGridLines="0" zoomScaleNormal="100" workbookViewId="0">
      <selection activeCell="F34" sqref="F34"/>
    </sheetView>
  </sheetViews>
  <sheetFormatPr defaultRowHeight="15" x14ac:dyDescent="0.25"/>
  <cols>
    <col min="1" max="1" width="19" customWidth="1"/>
    <col min="2" max="2" width="19" style="75" customWidth="1"/>
    <col min="3" max="3" width="16.5703125" customWidth="1"/>
    <col min="4" max="4" width="15.85546875" customWidth="1"/>
    <col min="5" max="5" width="19.7109375" customWidth="1"/>
    <col min="6" max="6" width="21.42578125" customWidth="1"/>
    <col min="7" max="7" width="27.42578125" customWidth="1"/>
    <col min="8" max="8" width="17.140625" style="1" customWidth="1"/>
    <col min="9" max="9" width="36.42578125" style="1" customWidth="1"/>
    <col min="10" max="10" width="18.140625" customWidth="1"/>
    <col min="11" max="11" width="9.140625" customWidth="1"/>
    <col min="12" max="12" width="17.7109375" customWidth="1"/>
    <col min="13" max="17" width="9.140625" customWidth="1"/>
    <col min="18" max="18" width="11.85546875" customWidth="1"/>
    <col min="19" max="19" width="11.140625" customWidth="1"/>
    <col min="20" max="20" width="10.7109375" customWidth="1"/>
    <col min="21" max="1026" width="9.140625" customWidth="1"/>
  </cols>
  <sheetData>
    <row r="1" spans="1:25" ht="15" customHeight="1" x14ac:dyDescent="0.25">
      <c r="F1" s="1"/>
      <c r="G1" s="1"/>
    </row>
    <row r="2" spans="1:25" ht="15" customHeight="1" x14ac:dyDescent="0.25">
      <c r="A2" s="611" t="s">
        <v>39</v>
      </c>
      <c r="B2" s="611"/>
      <c r="C2" s="611"/>
      <c r="D2" s="611"/>
      <c r="E2" s="1"/>
      <c r="F2" s="1"/>
      <c r="G2" s="1"/>
      <c r="H2" s="54"/>
    </row>
    <row r="3" spans="1:25" ht="15" customHeight="1" x14ac:dyDescent="0.25">
      <c r="A3" s="2"/>
      <c r="B3" s="443"/>
      <c r="C3" s="2"/>
      <c r="D3" s="55"/>
      <c r="E3" s="1"/>
      <c r="F3" s="1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</row>
    <row r="4" spans="1:25" ht="15" customHeight="1" x14ac:dyDescent="0.25">
      <c r="A4" s="156"/>
      <c r="B4" s="157"/>
      <c r="C4" s="156"/>
      <c r="D4" s="155">
        <v>305.05</v>
      </c>
      <c r="E4" s="1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</row>
    <row r="5" spans="1:25" ht="15" customHeight="1" thickBot="1" x14ac:dyDescent="0.3">
      <c r="A5" s="191" t="s">
        <v>174</v>
      </c>
      <c r="B5" s="192" t="s">
        <v>9</v>
      </c>
      <c r="C5" s="192" t="s">
        <v>3</v>
      </c>
      <c r="D5" s="192" t="s">
        <v>40</v>
      </c>
      <c r="E5" s="1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</row>
    <row r="6" spans="1:25" ht="15" customHeight="1" thickTop="1" x14ac:dyDescent="0.25">
      <c r="A6" s="159"/>
      <c r="B6" s="407"/>
      <c r="C6" s="160"/>
      <c r="D6" s="160"/>
      <c r="E6" s="1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</row>
    <row r="7" spans="1:25" ht="15" customHeight="1" x14ac:dyDescent="0.25">
      <c r="A7" s="159" t="s">
        <v>108</v>
      </c>
      <c r="B7" s="407" t="s">
        <v>278</v>
      </c>
      <c r="C7" s="160" t="s">
        <v>13</v>
      </c>
      <c r="D7" s="160">
        <v>428</v>
      </c>
      <c r="E7" s="1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</row>
    <row r="8" spans="1:25" ht="15" customHeight="1" thickBot="1" x14ac:dyDescent="0.3">
      <c r="A8" s="193"/>
      <c r="B8" s="158"/>
      <c r="C8" s="158"/>
      <c r="D8" s="194"/>
      <c r="E8" s="1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</row>
    <row r="9" spans="1:25" ht="15" customHeight="1" x14ac:dyDescent="0.25">
      <c r="A9" s="162" t="s">
        <v>163</v>
      </c>
      <c r="B9" s="157"/>
      <c r="C9" s="157"/>
      <c r="D9" s="163">
        <f>SUM(D7:D7)</f>
        <v>428</v>
      </c>
      <c r="E9" s="1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</row>
    <row r="10" spans="1:25" ht="16.7" customHeight="1" x14ac:dyDescent="0.25">
      <c r="A10" s="172"/>
      <c r="B10" s="275"/>
      <c r="C10" s="172"/>
      <c r="D10" s="172"/>
      <c r="E10" s="1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pans="1:25" ht="16.7" customHeight="1" x14ac:dyDescent="0.25">
      <c r="A11" t="s">
        <v>235</v>
      </c>
      <c r="B11" s="444"/>
      <c r="C11" s="26"/>
      <c r="D11" s="26"/>
      <c r="E11" s="1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pans="1:25" ht="16.7" customHeight="1" x14ac:dyDescent="0.3">
      <c r="A12" t="s">
        <v>221</v>
      </c>
      <c r="F12" s="28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pans="1:25" ht="16.7" customHeight="1" x14ac:dyDescent="0.3">
      <c r="D13" s="1"/>
      <c r="F13" s="23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pans="1:25" ht="16.7" customHeight="1" x14ac:dyDescent="0.3">
      <c r="A14" s="23"/>
      <c r="B14" s="24"/>
      <c r="C14" s="25"/>
      <c r="D14" s="1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pans="1:25" ht="16.7" customHeight="1" x14ac:dyDescent="0.3">
      <c r="A15" s="23"/>
      <c r="B15" s="24"/>
      <c r="C15" s="25"/>
      <c r="D15" s="1"/>
      <c r="F15" s="25"/>
      <c r="G15" s="25"/>
      <c r="H15" s="25"/>
      <c r="I15" s="25"/>
      <c r="J15" s="25"/>
      <c r="K15" s="25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5" ht="16.7" customHeight="1" x14ac:dyDescent="0.25">
      <c r="A16" s="56"/>
      <c r="B16" s="445"/>
      <c r="C16" s="25"/>
      <c r="D16" s="1"/>
      <c r="F16" s="25"/>
      <c r="G16" s="25"/>
      <c r="H16" s="25"/>
      <c r="I16" s="25"/>
      <c r="J16" s="25"/>
      <c r="K16" s="25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8" x14ac:dyDescent="0.25">
      <c r="A17" s="56"/>
      <c r="B17" s="445"/>
      <c r="C17" s="25"/>
      <c r="D17" s="1"/>
      <c r="F17" s="25"/>
      <c r="G17" s="25"/>
      <c r="H17" s="25"/>
      <c r="I17" s="25"/>
      <c r="J17" s="25"/>
      <c r="K17" s="25"/>
      <c r="L17" s="1"/>
      <c r="M17" s="1"/>
      <c r="N17" s="1"/>
      <c r="O17" s="1"/>
      <c r="P17" s="1"/>
      <c r="Q17" s="1"/>
      <c r="R17" s="614"/>
      <c r="S17" s="614"/>
      <c r="T17" s="614"/>
      <c r="U17" s="614"/>
    </row>
    <row r="18" spans="1:21" x14ac:dyDescent="0.25">
      <c r="A18" s="1"/>
      <c r="B18" s="25"/>
      <c r="C18" s="25"/>
      <c r="D18" s="1"/>
      <c r="F18" s="25"/>
      <c r="G18" s="25"/>
      <c r="H18" s="25"/>
      <c r="I18" s="25"/>
      <c r="J18" s="25"/>
      <c r="K18" s="25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x14ac:dyDescent="0.25">
      <c r="A19" s="1"/>
      <c r="B19" s="25"/>
      <c r="C19" s="25"/>
      <c r="D19" s="1"/>
      <c r="F19" s="25"/>
      <c r="G19" s="25"/>
      <c r="H19" s="25"/>
      <c r="I19" s="25"/>
      <c r="J19" s="25"/>
      <c r="K19" s="25"/>
      <c r="L19" s="57"/>
      <c r="M19" s="57"/>
      <c r="N19" s="1"/>
      <c r="O19" s="1"/>
      <c r="P19" s="1"/>
      <c r="Q19" s="1"/>
      <c r="R19" s="1"/>
      <c r="S19" s="1"/>
      <c r="T19" s="1"/>
      <c r="U19" s="1"/>
    </row>
    <row r="20" spans="1:21" x14ac:dyDescent="0.25">
      <c r="A20" s="1"/>
      <c r="B20" s="25"/>
      <c r="C20" s="25"/>
      <c r="D20" s="1"/>
      <c r="F20" s="25"/>
      <c r="G20" s="25"/>
      <c r="H20" s="25"/>
      <c r="I20" s="25"/>
      <c r="J20" s="25"/>
      <c r="K20" s="25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x14ac:dyDescent="0.25">
      <c r="A21" t="s">
        <v>244</v>
      </c>
      <c r="B21" s="25"/>
      <c r="C21" s="25"/>
      <c r="D21" s="1"/>
      <c r="F21" s="25"/>
      <c r="G21" s="25"/>
      <c r="H21" s="25"/>
      <c r="I21" s="25"/>
      <c r="J21" s="25"/>
      <c r="K21" s="25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x14ac:dyDescent="0.25">
      <c r="A22" t="s">
        <v>221</v>
      </c>
      <c r="B22" s="25"/>
      <c r="C22" s="25"/>
      <c r="D22" s="1"/>
      <c r="F22" s="25"/>
      <c r="G22" s="25"/>
      <c r="H22" s="25"/>
      <c r="I22" s="25"/>
      <c r="J22" s="25"/>
      <c r="K22" s="25"/>
      <c r="L22" s="1"/>
      <c r="M22" s="1"/>
      <c r="N22" s="1"/>
      <c r="O22" s="1"/>
      <c r="P22" s="1"/>
      <c r="Q22" s="1"/>
      <c r="R22" s="1"/>
      <c r="S22" s="1"/>
      <c r="T22" s="1"/>
      <c r="U22" s="1"/>
    </row>
    <row r="24" spans="1:21" x14ac:dyDescent="0.25">
      <c r="A24" t="s">
        <v>314</v>
      </c>
    </row>
    <row r="25" spans="1:21" x14ac:dyDescent="0.25">
      <c r="A25" s="315" t="s">
        <v>40</v>
      </c>
      <c r="B25" s="75" t="s">
        <v>227</v>
      </c>
      <c r="C25" s="315" t="s">
        <v>14</v>
      </c>
      <c r="D25" s="75"/>
      <c r="E25" s="329" t="s">
        <v>227</v>
      </c>
      <c r="F25" s="330" t="s">
        <v>227</v>
      </c>
    </row>
    <row r="26" spans="1:21" x14ac:dyDescent="0.25">
      <c r="A26">
        <v>12185.87</v>
      </c>
      <c r="B26" s="75" t="s">
        <v>227</v>
      </c>
      <c r="D26" s="75"/>
      <c r="E26" s="1"/>
    </row>
    <row r="27" spans="1:21" x14ac:dyDescent="0.25">
      <c r="A27" s="22">
        <v>11806.57</v>
      </c>
      <c r="B27" s="25" t="s">
        <v>227</v>
      </c>
      <c r="D27" s="75"/>
      <c r="E27" s="1"/>
    </row>
    <row r="28" spans="1:21" x14ac:dyDescent="0.25">
      <c r="A28" s="328">
        <f>SUM(A26-A27)</f>
        <v>379.30000000000109</v>
      </c>
      <c r="B28" s="25" t="s">
        <v>227</v>
      </c>
      <c r="C28" s="328">
        <f>SUM(A28:B28)</f>
        <v>379.30000000000109</v>
      </c>
      <c r="D28" s="75" t="s">
        <v>227</v>
      </c>
      <c r="E28" s="1" t="s">
        <v>227</v>
      </c>
      <c r="F28" s="316" t="s">
        <v>227</v>
      </c>
    </row>
    <row r="29" spans="1:21" x14ac:dyDescent="0.25">
      <c r="A29" s="328"/>
      <c r="B29" s="25"/>
      <c r="C29" s="328"/>
      <c r="D29" s="75"/>
      <c r="E29" s="1"/>
    </row>
    <row r="30" spans="1:21" x14ac:dyDescent="0.25">
      <c r="B30" s="25"/>
      <c r="D30" s="75"/>
      <c r="E30" s="1"/>
    </row>
    <row r="31" spans="1:21" x14ac:dyDescent="0.25">
      <c r="A31" s="315" t="s">
        <v>40</v>
      </c>
      <c r="B31" s="25" t="s">
        <v>227</v>
      </c>
      <c r="C31" s="315" t="s">
        <v>14</v>
      </c>
      <c r="D31" s="75" t="s">
        <v>227</v>
      </c>
      <c r="E31" s="329" t="s">
        <v>227</v>
      </c>
      <c r="F31" s="330" t="s">
        <v>227</v>
      </c>
    </row>
    <row r="32" spans="1:21" x14ac:dyDescent="0.25">
      <c r="A32">
        <v>33217.47</v>
      </c>
      <c r="B32" s="25" t="s">
        <v>227</v>
      </c>
      <c r="D32" s="75" t="s">
        <v>227</v>
      </c>
      <c r="E32" s="1"/>
    </row>
    <row r="33" spans="1:6" x14ac:dyDescent="0.25">
      <c r="A33" s="22">
        <v>12396.78</v>
      </c>
      <c r="B33" s="25" t="s">
        <v>227</v>
      </c>
      <c r="D33" s="75"/>
      <c r="E33" s="1"/>
    </row>
    <row r="34" spans="1:6" ht="15.75" thickBot="1" x14ac:dyDescent="0.3">
      <c r="A34" s="341">
        <f>SUM(A32-A33)</f>
        <v>20820.690000000002</v>
      </c>
      <c r="B34" s="340" t="s">
        <v>227</v>
      </c>
      <c r="C34" s="344">
        <f>SUM(A34:B34)</f>
        <v>20820.690000000002</v>
      </c>
      <c r="D34" s="75" t="s">
        <v>227</v>
      </c>
      <c r="E34" s="1" t="s">
        <v>227</v>
      </c>
      <c r="F34" s="316" t="s">
        <v>227</v>
      </c>
    </row>
    <row r="35" spans="1:6" x14ac:dyDescent="0.25">
      <c r="C35" s="328">
        <f>SUM(C34,C28)</f>
        <v>21199.990000000005</v>
      </c>
    </row>
    <row r="36" spans="1:6" x14ac:dyDescent="0.25">
      <c r="A36" t="s">
        <v>276</v>
      </c>
      <c r="C36">
        <v>210.91</v>
      </c>
    </row>
    <row r="37" spans="1:6" x14ac:dyDescent="0.25">
      <c r="C37" s="328">
        <f>SUM(C35+C36)</f>
        <v>21410.900000000005</v>
      </c>
    </row>
  </sheetData>
  <mergeCells count="2">
    <mergeCell ref="A2:D2"/>
    <mergeCell ref="R17:U17"/>
  </mergeCells>
  <pageMargins left="0.7" right="0.7" top="0.75" bottom="0.75" header="0.51180555555555496" footer="0.51180555555555496"/>
  <pageSetup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</sheetPr>
  <dimension ref="A1:U51"/>
  <sheetViews>
    <sheetView showGridLines="0" zoomScaleNormal="100" workbookViewId="0">
      <selection activeCell="A2" sqref="A2:F13"/>
    </sheetView>
  </sheetViews>
  <sheetFormatPr defaultRowHeight="15" x14ac:dyDescent="0.25"/>
  <cols>
    <col min="1" max="1" width="12.42578125" customWidth="1"/>
    <col min="2" max="2" width="21.5703125" customWidth="1"/>
    <col min="3" max="3" width="16.28515625" customWidth="1"/>
    <col min="4" max="4" width="11.5703125" customWidth="1"/>
    <col min="5" max="5" width="15.140625" customWidth="1"/>
    <col min="6" max="6" width="15.85546875" customWidth="1"/>
    <col min="7" max="7" width="19.7109375" customWidth="1"/>
    <col min="8" max="8" width="21.42578125" customWidth="1"/>
    <col min="9" max="9" width="27.42578125" customWidth="1"/>
    <col min="10" max="10" width="17.140625" style="1" customWidth="1"/>
    <col min="11" max="15" width="9.140625" customWidth="1"/>
    <col min="16" max="16" width="11.85546875" customWidth="1"/>
    <col min="17" max="17" width="11.140625" customWidth="1"/>
    <col min="18" max="18" width="10.7109375" customWidth="1"/>
    <col min="19" max="1024" width="9.140625" customWidth="1"/>
  </cols>
  <sheetData>
    <row r="1" spans="1:15" ht="16.7" customHeight="1" x14ac:dyDescent="0.25">
      <c r="A1" s="199"/>
      <c r="B1" s="199"/>
      <c r="C1" s="199"/>
      <c r="D1" s="199"/>
      <c r="E1" s="199"/>
      <c r="F1" s="199"/>
      <c r="H1" s="1"/>
      <c r="I1" s="1"/>
    </row>
    <row r="2" spans="1:15" ht="16.7" customHeight="1" x14ac:dyDescent="0.25">
      <c r="A2" s="615" t="s">
        <v>41</v>
      </c>
      <c r="B2" s="615"/>
      <c r="C2" s="615"/>
      <c r="D2" s="615"/>
      <c r="E2" s="615"/>
      <c r="F2" s="213"/>
      <c r="H2" s="1"/>
      <c r="I2" s="1"/>
      <c r="J2" s="54"/>
    </row>
    <row r="3" spans="1:15" ht="16.7" customHeight="1" x14ac:dyDescent="0.25">
      <c r="A3" s="200"/>
      <c r="B3" s="200"/>
      <c r="C3" s="200"/>
      <c r="D3" s="235"/>
      <c r="E3" s="201"/>
      <c r="F3" s="201"/>
      <c r="H3" s="1"/>
      <c r="I3" s="1"/>
      <c r="J3" s="54"/>
      <c r="K3" s="54"/>
    </row>
    <row r="4" spans="1:15" ht="16.7" customHeight="1" x14ac:dyDescent="0.25">
      <c r="A4" s="202"/>
      <c r="B4" s="202"/>
      <c r="C4" s="202"/>
      <c r="D4" s="203">
        <v>455.06049999999999</v>
      </c>
      <c r="E4" s="203">
        <v>460.6225</v>
      </c>
      <c r="F4" s="203">
        <v>465.01100000000002</v>
      </c>
      <c r="H4" s="1"/>
      <c r="I4" s="1"/>
      <c r="J4" s="54"/>
      <c r="K4" s="54"/>
    </row>
    <row r="5" spans="1:15" ht="16.7" customHeight="1" x14ac:dyDescent="0.25">
      <c r="A5" s="202"/>
      <c r="B5" s="202"/>
      <c r="C5" s="202"/>
      <c r="D5" s="203"/>
      <c r="E5" s="203" t="s">
        <v>42</v>
      </c>
      <c r="F5" s="211" t="s">
        <v>183</v>
      </c>
      <c r="H5" s="1"/>
      <c r="I5" s="1"/>
      <c r="J5" s="54"/>
      <c r="K5" s="54"/>
    </row>
    <row r="6" spans="1:15" ht="16.7" customHeight="1" x14ac:dyDescent="0.25">
      <c r="A6" s="202"/>
      <c r="B6" s="202"/>
      <c r="C6" s="202"/>
      <c r="D6" s="203" t="s">
        <v>187</v>
      </c>
      <c r="E6" s="203" t="s">
        <v>43</v>
      </c>
      <c r="F6" s="211" t="s">
        <v>345</v>
      </c>
      <c r="H6" s="1"/>
      <c r="I6" s="1"/>
      <c r="J6" s="54"/>
      <c r="K6" s="54"/>
    </row>
    <row r="7" spans="1:15" ht="16.7" customHeight="1" x14ac:dyDescent="0.25">
      <c r="A7" s="202"/>
      <c r="B7" s="202"/>
      <c r="C7" s="202"/>
      <c r="D7" s="203" t="s">
        <v>186</v>
      </c>
      <c r="E7" s="203" t="s">
        <v>112</v>
      </c>
      <c r="F7" s="211" t="s">
        <v>182</v>
      </c>
      <c r="H7" s="1"/>
      <c r="I7" s="1"/>
      <c r="J7" s="54"/>
      <c r="K7" s="54"/>
    </row>
    <row r="8" spans="1:15" ht="16.7" customHeight="1" thickBot="1" x14ac:dyDescent="0.3">
      <c r="A8" s="191" t="s">
        <v>174</v>
      </c>
      <c r="B8" s="192" t="s">
        <v>9</v>
      </c>
      <c r="C8" s="217" t="s">
        <v>3</v>
      </c>
      <c r="D8" s="217" t="s">
        <v>45</v>
      </c>
      <c r="E8" s="217" t="s">
        <v>27</v>
      </c>
      <c r="F8" s="217" t="s">
        <v>27</v>
      </c>
      <c r="H8" s="1"/>
      <c r="I8" s="1"/>
      <c r="J8" s="54"/>
      <c r="K8" s="54"/>
    </row>
    <row r="9" spans="1:15" ht="16.7" customHeight="1" thickTop="1" x14ac:dyDescent="0.25">
      <c r="A9" s="204"/>
      <c r="B9" s="204"/>
      <c r="C9" s="204"/>
      <c r="D9" s="205"/>
      <c r="E9" s="205"/>
      <c r="F9" s="205"/>
      <c r="H9" s="1"/>
      <c r="I9" s="1"/>
      <c r="J9" s="54"/>
      <c r="K9" s="54"/>
    </row>
    <row r="10" spans="1:15" ht="16.7" customHeight="1" x14ac:dyDescent="0.25">
      <c r="A10" s="214" t="s">
        <v>108</v>
      </c>
      <c r="B10" s="407" t="s">
        <v>278</v>
      </c>
      <c r="C10" s="214"/>
      <c r="D10" s="215">
        <f>G42</f>
        <v>5418.6083000000008</v>
      </c>
      <c r="E10" s="216">
        <f>CEILING(H42,5)</f>
        <v>6680</v>
      </c>
      <c r="F10" s="550" t="s">
        <v>369</v>
      </c>
      <c r="H10" s="1"/>
      <c r="I10" s="1"/>
      <c r="J10" s="54"/>
      <c r="K10" s="54"/>
      <c r="L10" s="616"/>
      <c r="M10" s="616"/>
      <c r="N10" s="616"/>
      <c r="O10" s="616"/>
    </row>
    <row r="11" spans="1:15" ht="16.7" customHeight="1" x14ac:dyDescent="0.25">
      <c r="A11" s="214" t="s">
        <v>191</v>
      </c>
      <c r="B11" s="407"/>
      <c r="C11" s="214"/>
      <c r="D11" s="551" t="s">
        <v>369</v>
      </c>
      <c r="E11" s="552" t="s">
        <v>369</v>
      </c>
      <c r="F11" s="381">
        <v>200</v>
      </c>
      <c r="H11" s="1"/>
      <c r="I11" s="1"/>
      <c r="J11" s="54"/>
      <c r="K11" s="54"/>
      <c r="L11" s="409"/>
      <c r="M11" s="409"/>
      <c r="N11" s="409"/>
      <c r="O11" s="409"/>
    </row>
    <row r="12" spans="1:15" ht="16.7" customHeight="1" x14ac:dyDescent="0.25">
      <c r="A12" s="214"/>
      <c r="B12" s="214"/>
      <c r="C12" s="214"/>
      <c r="D12" s="215"/>
      <c r="E12" s="216"/>
      <c r="F12" s="403"/>
      <c r="H12" s="1"/>
      <c r="I12" s="1"/>
      <c r="J12" s="54"/>
      <c r="K12" s="54"/>
    </row>
    <row r="13" spans="1:15" ht="16.7" customHeight="1" x14ac:dyDescent="0.25">
      <c r="A13" s="413" t="s">
        <v>162</v>
      </c>
      <c r="B13" s="413"/>
      <c r="C13" s="413"/>
      <c r="D13" s="417">
        <f>SUM(D10:D10)</f>
        <v>5418.6083000000008</v>
      </c>
      <c r="E13" s="418">
        <f>SUM(E10:E10)</f>
        <v>6680</v>
      </c>
      <c r="F13" s="417">
        <f>SUM(F11:F12)</f>
        <v>200</v>
      </c>
      <c r="H13" s="1"/>
      <c r="I13" s="1"/>
      <c r="J13" s="54"/>
      <c r="K13" s="54"/>
    </row>
    <row r="14" spans="1:15" ht="16.7" customHeight="1" x14ac:dyDescent="0.25">
      <c r="A14" s="199"/>
      <c r="B14" s="199"/>
      <c r="C14" s="199"/>
      <c r="D14" s="236"/>
      <c r="E14" s="199"/>
      <c r="F14" s="199"/>
      <c r="G14" s="199"/>
      <c r="H14" s="1"/>
      <c r="I14" s="1"/>
      <c r="J14" s="54"/>
      <c r="K14" s="54"/>
    </row>
    <row r="15" spans="1:15" ht="16.7" customHeight="1" x14ac:dyDescent="0.25">
      <c r="A15" s="210"/>
      <c r="B15" s="210"/>
      <c r="C15" s="210"/>
      <c r="D15" s="210"/>
      <c r="E15" s="210"/>
      <c r="F15" s="210"/>
      <c r="G15" s="210"/>
      <c r="H15" s="26"/>
      <c r="I15" s="26"/>
      <c r="J15" s="48"/>
    </row>
    <row r="16" spans="1:15" ht="16.7" customHeight="1" x14ac:dyDescent="0.3">
      <c r="I16" s="28"/>
      <c r="J16" s="28"/>
      <c r="K16" s="30"/>
    </row>
    <row r="17" spans="1:21" ht="16.7" customHeight="1" x14ac:dyDescent="0.3">
      <c r="A17" s="313" t="s">
        <v>220</v>
      </c>
      <c r="I17" s="23"/>
      <c r="J17" s="23"/>
      <c r="K17" s="29"/>
      <c r="L17" s="1"/>
      <c r="M17" s="1"/>
      <c r="N17" s="1"/>
      <c r="O17" s="1"/>
      <c r="P17" s="1"/>
      <c r="Q17" s="1"/>
      <c r="R17" s="1"/>
      <c r="S17" s="1"/>
      <c r="T17" s="1"/>
    </row>
    <row r="18" spans="1:21" ht="16.7" customHeight="1" x14ac:dyDescent="0.3">
      <c r="A18" s="313" t="s">
        <v>221</v>
      </c>
      <c r="B18" s="23"/>
      <c r="C18" s="23"/>
      <c r="D18" s="23"/>
      <c r="E18" s="23"/>
      <c r="F18" s="23"/>
      <c r="G18" s="23"/>
      <c r="H18" s="23"/>
      <c r="I18" s="23"/>
      <c r="J18" s="23"/>
      <c r="K18" s="29"/>
      <c r="L18" s="1"/>
      <c r="M18" s="1"/>
      <c r="N18" s="1"/>
      <c r="O18" s="1"/>
      <c r="P18" s="1"/>
      <c r="Q18" s="1"/>
      <c r="R18" s="1"/>
      <c r="S18" s="1"/>
      <c r="T18" s="1"/>
    </row>
    <row r="19" spans="1:21" ht="16.7" customHeight="1" x14ac:dyDescent="0.3">
      <c r="A19" s="23"/>
      <c r="B19" s="23"/>
      <c r="C19" s="23"/>
      <c r="D19" s="23"/>
      <c r="E19" s="23"/>
      <c r="F19" s="23"/>
      <c r="G19" s="23"/>
      <c r="H19" s="617"/>
      <c r="I19" s="617"/>
      <c r="J19" s="24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16.7" customHeight="1" x14ac:dyDescent="0.25">
      <c r="E20" s="1"/>
      <c r="F20" s="177"/>
      <c r="G20" s="1"/>
      <c r="H20" s="25"/>
      <c r="I20" s="25"/>
      <c r="J20" s="18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18" x14ac:dyDescent="0.25">
      <c r="A21" s="611" t="s">
        <v>12</v>
      </c>
      <c r="B21" s="611"/>
      <c r="C21" s="611"/>
      <c r="D21" s="611"/>
      <c r="E21" s="27"/>
      <c r="F21" s="177"/>
      <c r="G21" s="1"/>
      <c r="H21" s="25"/>
      <c r="I21" s="25"/>
      <c r="J21" s="181"/>
      <c r="K21" s="1"/>
      <c r="L21" s="1"/>
      <c r="M21" s="1"/>
      <c r="N21" s="1"/>
      <c r="O21" s="1"/>
      <c r="P21" s="1"/>
      <c r="Q21" s="1"/>
      <c r="R21" s="614"/>
      <c r="S21" s="614"/>
      <c r="T21" s="614"/>
      <c r="U21" s="614"/>
    </row>
    <row r="22" spans="1:21" ht="18" x14ac:dyDescent="0.25">
      <c r="A22" s="156"/>
      <c r="B22" s="156"/>
      <c r="C22" s="156"/>
      <c r="D22" s="170"/>
      <c r="E22" s="171"/>
      <c r="F22" s="1"/>
      <c r="G22" s="1"/>
      <c r="H22" s="25"/>
      <c r="I22" s="25"/>
      <c r="J22" s="13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18" x14ac:dyDescent="0.25">
      <c r="A23" s="156"/>
      <c r="B23" s="156"/>
      <c r="C23" s="156"/>
      <c r="D23" s="318">
        <v>204.012</v>
      </c>
      <c r="E23" s="171"/>
      <c r="F23" s="1"/>
      <c r="G23" s="1"/>
      <c r="H23" s="25"/>
      <c r="I23" s="25"/>
      <c r="J23" s="13"/>
      <c r="K23" s="57"/>
      <c r="L23" s="57"/>
      <c r="M23" s="57"/>
      <c r="N23" s="1"/>
      <c r="O23" s="1"/>
      <c r="P23" s="1"/>
      <c r="Q23" s="1"/>
      <c r="R23" s="1"/>
      <c r="S23" s="1"/>
      <c r="T23" s="1"/>
      <c r="U23" s="1"/>
    </row>
    <row r="24" spans="1:21" ht="18.75" thickBot="1" x14ac:dyDescent="0.3">
      <c r="A24" s="191" t="s">
        <v>174</v>
      </c>
      <c r="B24" s="191" t="s">
        <v>9</v>
      </c>
      <c r="C24" s="192" t="s">
        <v>3</v>
      </c>
      <c r="D24" s="319" t="s">
        <v>10</v>
      </c>
      <c r="E24" s="191" t="s">
        <v>5</v>
      </c>
      <c r="F24" s="1"/>
      <c r="G24" s="1"/>
      <c r="H24" s="25"/>
      <c r="I24" s="25"/>
      <c r="J24" s="1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18.75" thickTop="1" x14ac:dyDescent="0.25">
      <c r="A25" s="159"/>
      <c r="B25" s="159"/>
      <c r="C25" s="276"/>
      <c r="D25" s="320"/>
      <c r="E25" s="159"/>
      <c r="F25" s="1"/>
      <c r="G25" s="1"/>
      <c r="H25" s="25"/>
      <c r="I25" s="25"/>
      <c r="J25" s="13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18" x14ac:dyDescent="0.25">
      <c r="A26" s="159" t="s">
        <v>108</v>
      </c>
      <c r="B26" s="159" t="s">
        <v>180</v>
      </c>
      <c r="C26" s="276" t="s">
        <v>13</v>
      </c>
      <c r="D26" s="320">
        <v>1011</v>
      </c>
      <c r="E26" s="159"/>
      <c r="F26" s="1"/>
      <c r="G26" s="1"/>
      <c r="H26" s="25"/>
      <c r="I26" s="25"/>
      <c r="J26" s="13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18" x14ac:dyDescent="0.25">
      <c r="A27" s="159" t="s">
        <v>108</v>
      </c>
      <c r="B27" s="159" t="s">
        <v>181</v>
      </c>
      <c r="C27" s="276" t="s">
        <v>13</v>
      </c>
      <c r="D27" s="320">
        <v>55522</v>
      </c>
      <c r="E27" s="159"/>
      <c r="F27" s="1"/>
      <c r="G27" s="25"/>
      <c r="H27" s="25"/>
      <c r="I27" s="13"/>
      <c r="J27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1" x14ac:dyDescent="0.25">
      <c r="A28" s="159"/>
      <c r="B28" s="159"/>
      <c r="C28" s="276"/>
      <c r="D28" s="320"/>
      <c r="E28" s="159"/>
    </row>
    <row r="29" spans="1:21" x14ac:dyDescent="0.25">
      <c r="A29" s="159" t="s">
        <v>268</v>
      </c>
      <c r="B29" s="159"/>
      <c r="C29" s="276"/>
      <c r="D29" s="320">
        <v>16725</v>
      </c>
      <c r="E29" s="159"/>
    </row>
    <row r="30" spans="1:21" x14ac:dyDescent="0.25">
      <c r="A30" s="159"/>
      <c r="B30" s="159"/>
      <c r="C30" s="159"/>
      <c r="D30" s="320"/>
      <c r="E30" s="173"/>
    </row>
    <row r="31" spans="1:21" x14ac:dyDescent="0.25">
      <c r="A31" s="324" t="s">
        <v>109</v>
      </c>
      <c r="B31" s="324"/>
      <c r="C31" s="325"/>
      <c r="D31" s="326" t="s">
        <v>227</v>
      </c>
      <c r="E31" s="327"/>
    </row>
    <row r="32" spans="1:21" x14ac:dyDescent="0.25">
      <c r="A32" s="156" t="s">
        <v>222</v>
      </c>
      <c r="B32" s="156"/>
      <c r="C32" s="276" t="s">
        <v>7</v>
      </c>
      <c r="D32" s="74">
        <v>369.69</v>
      </c>
      <c r="E32" s="159"/>
    </row>
    <row r="33" spans="1:9" x14ac:dyDescent="0.25">
      <c r="A33" s="156" t="s">
        <v>223</v>
      </c>
      <c r="B33" s="156"/>
      <c r="C33" s="276" t="s">
        <v>7</v>
      </c>
      <c r="D33" s="321">
        <v>432</v>
      </c>
      <c r="E33" s="159"/>
    </row>
    <row r="34" spans="1:9" x14ac:dyDescent="0.25">
      <c r="A34" s="156" t="s">
        <v>226</v>
      </c>
      <c r="B34" s="156"/>
      <c r="C34" s="276" t="s">
        <v>6</v>
      </c>
      <c r="D34" s="321">
        <v>491</v>
      </c>
      <c r="E34" s="159"/>
    </row>
    <row r="35" spans="1:9" x14ac:dyDescent="0.25">
      <c r="A35" s="156" t="s">
        <v>224</v>
      </c>
      <c r="B35" s="156"/>
      <c r="C35" s="276" t="s">
        <v>7</v>
      </c>
      <c r="D35" s="321">
        <v>469</v>
      </c>
      <c r="E35" s="159"/>
    </row>
    <row r="36" spans="1:9" x14ac:dyDescent="0.25">
      <c r="A36" s="156" t="s">
        <v>228</v>
      </c>
      <c r="B36" s="156"/>
      <c r="C36" s="276" t="s">
        <v>7</v>
      </c>
      <c r="D36" s="321">
        <v>480</v>
      </c>
      <c r="E36" s="159"/>
    </row>
    <row r="37" spans="1:9" x14ac:dyDescent="0.25">
      <c r="A37" s="156" t="s">
        <v>229</v>
      </c>
      <c r="B37" s="156"/>
      <c r="C37" s="276" t="s">
        <v>6</v>
      </c>
      <c r="D37" s="321">
        <v>455</v>
      </c>
      <c r="E37" s="159"/>
      <c r="F37" s="366"/>
    </row>
    <row r="38" spans="1:9" x14ac:dyDescent="0.25">
      <c r="A38" s="174" t="s">
        <v>225</v>
      </c>
      <c r="B38" s="156"/>
      <c r="C38" s="276" t="s">
        <v>7</v>
      </c>
      <c r="D38" s="321">
        <v>850</v>
      </c>
      <c r="E38" s="159"/>
      <c r="F38" s="366"/>
    </row>
    <row r="39" spans="1:9" ht="15.75" thickBot="1" x14ac:dyDescent="0.3">
      <c r="A39" s="193" t="s">
        <v>232</v>
      </c>
      <c r="B39" s="193"/>
      <c r="C39" s="158" t="s">
        <v>6</v>
      </c>
      <c r="D39" s="323">
        <v>604</v>
      </c>
      <c r="E39" s="194"/>
      <c r="F39" s="366"/>
    </row>
    <row r="40" spans="1:9" x14ac:dyDescent="0.25">
      <c r="A40" s="162" t="s">
        <v>247</v>
      </c>
      <c r="B40" s="162"/>
      <c r="C40" s="157"/>
      <c r="D40" s="321">
        <f>SUM(D26:D39)</f>
        <v>77408.69</v>
      </c>
      <c r="E40" s="171"/>
      <c r="F40" s="366"/>
      <c r="G40" s="75" t="s">
        <v>271</v>
      </c>
      <c r="H40" s="75" t="s">
        <v>47</v>
      </c>
      <c r="I40" s="75" t="s">
        <v>272</v>
      </c>
    </row>
    <row r="41" spans="1:9" ht="15.75" thickBot="1" x14ac:dyDescent="0.3">
      <c r="A41" s="347" t="s">
        <v>246</v>
      </c>
      <c r="D41" s="75">
        <v>0</v>
      </c>
      <c r="E41" s="364" t="s">
        <v>273</v>
      </c>
      <c r="F41" s="367" t="s">
        <v>269</v>
      </c>
      <c r="G41" s="75" t="s">
        <v>270</v>
      </c>
      <c r="H41" s="75" t="s">
        <v>27</v>
      </c>
      <c r="I41" s="75" t="s">
        <v>92</v>
      </c>
    </row>
    <row r="42" spans="1:9" ht="15.75" thickTop="1" x14ac:dyDescent="0.25">
      <c r="A42" s="348" t="s">
        <v>122</v>
      </c>
      <c r="B42" s="349"/>
      <c r="C42" s="349"/>
      <c r="D42" s="351">
        <f>SUM(D40-D41)</f>
        <v>77408.69</v>
      </c>
      <c r="E42" s="349"/>
      <c r="F42" s="25">
        <v>7.0000000000000007E-2</v>
      </c>
      <c r="G42" s="361">
        <f>SUM(D42*F42)</f>
        <v>5418.6083000000008</v>
      </c>
      <c r="H42" s="362">
        <f>(D42*1.5*115)/2000</f>
        <v>6676.4995125000005</v>
      </c>
      <c r="I42" s="363">
        <f>CEILING(SUM(H42)*0.64,10)</f>
        <v>4280</v>
      </c>
    </row>
    <row r="43" spans="1:9" x14ac:dyDescent="0.25">
      <c r="F43" s="1"/>
    </row>
    <row r="44" spans="1:9" x14ac:dyDescent="0.25">
      <c r="F44" s="1"/>
    </row>
    <row r="49" spans="9:10" x14ac:dyDescent="0.25">
      <c r="I49" s="339" t="s">
        <v>274</v>
      </c>
      <c r="J49" s="365"/>
    </row>
    <row r="50" spans="9:10" x14ac:dyDescent="0.25">
      <c r="I50" s="339" t="s">
        <v>275</v>
      </c>
      <c r="J50" s="365"/>
    </row>
    <row r="51" spans="9:10" x14ac:dyDescent="0.25">
      <c r="I51" s="339"/>
      <c r="J51" s="365"/>
    </row>
  </sheetData>
  <mergeCells count="5">
    <mergeCell ref="A2:E2"/>
    <mergeCell ref="L10:O10"/>
    <mergeCell ref="H19:I19"/>
    <mergeCell ref="R21:U21"/>
    <mergeCell ref="A21:D21"/>
  </mergeCells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1B4E5-C1E5-4965-A669-D3AC77EDCAE9}">
  <sheetPr>
    <tabColor rgb="FFFFC000"/>
  </sheetPr>
  <dimension ref="A1:LR106"/>
  <sheetViews>
    <sheetView showGridLines="0" workbookViewId="0">
      <selection activeCell="D10" sqref="D10"/>
    </sheetView>
  </sheetViews>
  <sheetFormatPr defaultRowHeight="12" x14ac:dyDescent="0.2"/>
  <cols>
    <col min="1" max="1" width="9.5703125" style="228" bestFit="1" customWidth="1"/>
    <col min="2" max="2" width="32.42578125" style="228" customWidth="1"/>
    <col min="3" max="3" width="16" style="222" customWidth="1"/>
    <col min="4" max="4" width="16.5703125" style="222" customWidth="1"/>
    <col min="5" max="5" width="10.7109375" style="228" bestFit="1" customWidth="1"/>
    <col min="6" max="6" width="7" style="228" customWidth="1"/>
    <col min="7" max="7" width="6.7109375" style="228" bestFit="1" customWidth="1"/>
    <col min="8" max="12" width="8.42578125" style="228" bestFit="1" customWidth="1"/>
    <col min="13" max="15" width="14" style="228" customWidth="1"/>
    <col min="16" max="209" width="9.140625" style="228"/>
    <col min="210" max="211" width="8.7109375" style="228" customWidth="1"/>
    <col min="212" max="212" width="4.7109375" style="228" customWidth="1"/>
    <col min="213" max="213" width="10.7109375" style="228" customWidth="1"/>
    <col min="214" max="214" width="5.7109375" style="228" customWidth="1"/>
    <col min="215" max="215" width="3.28515625" style="228" bestFit="1" customWidth="1"/>
    <col min="216" max="216" width="8.7109375" style="228" customWidth="1"/>
    <col min="217" max="217" width="4.7109375" style="228" customWidth="1"/>
    <col min="218" max="218" width="10.7109375" style="228" customWidth="1"/>
    <col min="219" max="219" width="5.7109375" style="228" customWidth="1"/>
    <col min="220" max="220" width="3.28515625" style="228" customWidth="1"/>
    <col min="221" max="221" width="8.42578125" style="228" bestFit="1" customWidth="1"/>
    <col min="222" max="222" width="8.85546875" style="228" customWidth="1"/>
    <col min="223" max="233" width="10.7109375" style="228" customWidth="1"/>
    <col min="234" max="234" width="13.28515625" style="228" customWidth="1"/>
    <col min="235" max="235" width="9.28515625" style="228" bestFit="1" customWidth="1"/>
    <col min="236" max="236" width="15.7109375" style="228" customWidth="1"/>
    <col min="237" max="237" width="7" style="228" customWidth="1"/>
    <col min="238" max="239" width="13" style="228" customWidth="1"/>
    <col min="240" max="246" width="18.7109375" style="228" customWidth="1"/>
    <col min="247" max="247" width="21.7109375" style="228" bestFit="1" customWidth="1"/>
    <col min="248" max="249" width="8.7109375" style="228" customWidth="1"/>
    <col min="250" max="250" width="18.42578125" style="228" customWidth="1"/>
    <col min="251" max="256" width="15" style="228" customWidth="1"/>
    <col min="257" max="257" width="21.7109375" style="228" bestFit="1" customWidth="1"/>
    <col min="258" max="258" width="7.28515625" style="228" customWidth="1"/>
    <col min="259" max="259" width="14.85546875" style="228" customWidth="1"/>
    <col min="260" max="260" width="15.140625" style="228" bestFit="1" customWidth="1"/>
    <col min="261" max="261" width="25.42578125" style="228" customWidth="1"/>
    <col min="262" max="262" width="5.85546875" style="228" bestFit="1" customWidth="1"/>
    <col min="263" max="263" width="6.7109375" style="228" bestFit="1" customWidth="1"/>
    <col min="264" max="268" width="8.42578125" style="228" bestFit="1" customWidth="1"/>
    <col min="269" max="271" width="14" style="228" customWidth="1"/>
    <col min="272" max="465" width="9.140625" style="228"/>
    <col min="466" max="467" width="8.7109375" style="228" customWidth="1"/>
    <col min="468" max="468" width="4.7109375" style="228" customWidth="1"/>
    <col min="469" max="469" width="10.7109375" style="228" customWidth="1"/>
    <col min="470" max="470" width="5.7109375" style="228" customWidth="1"/>
    <col min="471" max="471" width="3.28515625" style="228" bestFit="1" customWidth="1"/>
    <col min="472" max="472" width="8.7109375" style="228" customWidth="1"/>
    <col min="473" max="473" width="4.7109375" style="228" customWidth="1"/>
    <col min="474" max="474" width="10.7109375" style="228" customWidth="1"/>
    <col min="475" max="475" width="5.7109375" style="228" customWidth="1"/>
    <col min="476" max="476" width="3.28515625" style="228" customWidth="1"/>
    <col min="477" max="477" width="8.42578125" style="228" bestFit="1" customWidth="1"/>
    <col min="478" max="478" width="8.85546875" style="228" customWidth="1"/>
    <col min="479" max="489" width="10.7109375" style="228" customWidth="1"/>
    <col min="490" max="490" width="13.28515625" style="228" customWidth="1"/>
    <col min="491" max="491" width="9.28515625" style="228" bestFit="1" customWidth="1"/>
    <col min="492" max="492" width="15.7109375" style="228" customWidth="1"/>
    <col min="493" max="493" width="7" style="228" customWidth="1"/>
    <col min="494" max="495" width="13" style="228" customWidth="1"/>
    <col min="496" max="502" width="18.7109375" style="228" customWidth="1"/>
    <col min="503" max="503" width="21.7109375" style="228" bestFit="1" customWidth="1"/>
    <col min="504" max="505" width="8.7109375" style="228" customWidth="1"/>
    <col min="506" max="506" width="18.42578125" style="228" customWidth="1"/>
    <col min="507" max="512" width="15" style="228" customWidth="1"/>
    <col min="513" max="513" width="21.7109375" style="228" bestFit="1" customWidth="1"/>
    <col min="514" max="514" width="7.28515625" style="228" customWidth="1"/>
    <col min="515" max="515" width="14.85546875" style="228" customWidth="1"/>
    <col min="516" max="516" width="15.140625" style="228" bestFit="1" customWidth="1"/>
    <col min="517" max="517" width="25.42578125" style="228" customWidth="1"/>
    <col min="518" max="518" width="5.85546875" style="228" bestFit="1" customWidth="1"/>
    <col min="519" max="519" width="6.7109375" style="228" bestFit="1" customWidth="1"/>
    <col min="520" max="524" width="8.42578125" style="228" bestFit="1" customWidth="1"/>
    <col min="525" max="527" width="14" style="228" customWidth="1"/>
    <col min="528" max="721" width="9.140625" style="228"/>
    <col min="722" max="723" width="8.7109375" style="228" customWidth="1"/>
    <col min="724" max="724" width="4.7109375" style="228" customWidth="1"/>
    <col min="725" max="725" width="10.7109375" style="228" customWidth="1"/>
    <col min="726" max="726" width="5.7109375" style="228" customWidth="1"/>
    <col min="727" max="727" width="3.28515625" style="228" bestFit="1" customWidth="1"/>
    <col min="728" max="728" width="8.7109375" style="228" customWidth="1"/>
    <col min="729" max="729" width="4.7109375" style="228" customWidth="1"/>
    <col min="730" max="730" width="10.7109375" style="228" customWidth="1"/>
    <col min="731" max="731" width="5.7109375" style="228" customWidth="1"/>
    <col min="732" max="732" width="3.28515625" style="228" customWidth="1"/>
    <col min="733" max="733" width="8.42578125" style="228" bestFit="1" customWidth="1"/>
    <col min="734" max="734" width="8.85546875" style="228" customWidth="1"/>
    <col min="735" max="745" width="10.7109375" style="228" customWidth="1"/>
    <col min="746" max="746" width="13.28515625" style="228" customWidth="1"/>
    <col min="747" max="747" width="9.28515625" style="228" bestFit="1" customWidth="1"/>
    <col min="748" max="748" width="15.7109375" style="228" customWidth="1"/>
    <col min="749" max="749" width="7" style="228" customWidth="1"/>
    <col min="750" max="751" width="13" style="228" customWidth="1"/>
    <col min="752" max="758" width="18.7109375" style="228" customWidth="1"/>
    <col min="759" max="759" width="21.7109375" style="228" bestFit="1" customWidth="1"/>
    <col min="760" max="761" width="8.7109375" style="228" customWidth="1"/>
    <col min="762" max="762" width="18.42578125" style="228" customWidth="1"/>
    <col min="763" max="768" width="15" style="228" customWidth="1"/>
    <col min="769" max="769" width="21.7109375" style="228" bestFit="1" customWidth="1"/>
    <col min="770" max="770" width="7.28515625" style="228" customWidth="1"/>
    <col min="771" max="771" width="14.85546875" style="228" customWidth="1"/>
    <col min="772" max="772" width="15.140625" style="228" bestFit="1" customWidth="1"/>
    <col min="773" max="773" width="25.42578125" style="228" customWidth="1"/>
    <col min="774" max="774" width="5.85546875" style="228" bestFit="1" customWidth="1"/>
    <col min="775" max="775" width="6.7109375" style="228" bestFit="1" customWidth="1"/>
    <col min="776" max="780" width="8.42578125" style="228" bestFit="1" customWidth="1"/>
    <col min="781" max="783" width="14" style="228" customWidth="1"/>
    <col min="784" max="977" width="9.140625" style="228"/>
    <col min="978" max="979" width="8.7109375" style="228" customWidth="1"/>
    <col min="980" max="980" width="4.7109375" style="228" customWidth="1"/>
    <col min="981" max="981" width="10.7109375" style="228" customWidth="1"/>
    <col min="982" max="982" width="5.7109375" style="228" customWidth="1"/>
    <col min="983" max="983" width="3.28515625" style="228" bestFit="1" customWidth="1"/>
    <col min="984" max="984" width="8.7109375" style="228" customWidth="1"/>
    <col min="985" max="985" width="4.7109375" style="228" customWidth="1"/>
    <col min="986" max="986" width="10.7109375" style="228" customWidth="1"/>
    <col min="987" max="987" width="5.7109375" style="228" customWidth="1"/>
    <col min="988" max="988" width="3.28515625" style="228" customWidth="1"/>
    <col min="989" max="989" width="8.42578125" style="228" bestFit="1" customWidth="1"/>
    <col min="990" max="990" width="8.85546875" style="228" customWidth="1"/>
    <col min="991" max="1001" width="10.7109375" style="228" customWidth="1"/>
    <col min="1002" max="1002" width="13.28515625" style="228" customWidth="1"/>
    <col min="1003" max="1003" width="9.28515625" style="228" bestFit="1" customWidth="1"/>
    <col min="1004" max="1004" width="15.7109375" style="228" customWidth="1"/>
    <col min="1005" max="1005" width="7" style="228" customWidth="1"/>
    <col min="1006" max="1007" width="13" style="228" customWidth="1"/>
    <col min="1008" max="1014" width="18.7109375" style="228" customWidth="1"/>
    <col min="1015" max="1015" width="21.7109375" style="228" bestFit="1" customWidth="1"/>
    <col min="1016" max="1017" width="8.7109375" style="228" customWidth="1"/>
    <col min="1018" max="1018" width="18.42578125" style="228" customWidth="1"/>
    <col min="1019" max="1024" width="15" style="228" customWidth="1"/>
    <col min="1025" max="1025" width="21.7109375" style="228" bestFit="1" customWidth="1"/>
    <col min="1026" max="1026" width="7.28515625" style="228" customWidth="1"/>
    <col min="1027" max="1027" width="14.85546875" style="228" customWidth="1"/>
    <col min="1028" max="1028" width="15.140625" style="228" bestFit="1" customWidth="1"/>
    <col min="1029" max="1029" width="25.42578125" style="228" customWidth="1"/>
    <col min="1030" max="1030" width="5.85546875" style="228" bestFit="1" customWidth="1"/>
    <col min="1031" max="1031" width="6.7109375" style="228" bestFit="1" customWidth="1"/>
    <col min="1032" max="1036" width="8.42578125" style="228" bestFit="1" customWidth="1"/>
    <col min="1037" max="1039" width="14" style="228" customWidth="1"/>
    <col min="1040" max="1233" width="9.140625" style="228"/>
    <col min="1234" max="1235" width="8.7109375" style="228" customWidth="1"/>
    <col min="1236" max="1236" width="4.7109375" style="228" customWidth="1"/>
    <col min="1237" max="1237" width="10.7109375" style="228" customWidth="1"/>
    <col min="1238" max="1238" width="5.7109375" style="228" customWidth="1"/>
    <col min="1239" max="1239" width="3.28515625" style="228" bestFit="1" customWidth="1"/>
    <col min="1240" max="1240" width="8.7109375" style="228" customWidth="1"/>
    <col min="1241" max="1241" width="4.7109375" style="228" customWidth="1"/>
    <col min="1242" max="1242" width="10.7109375" style="228" customWidth="1"/>
    <col min="1243" max="1243" width="5.7109375" style="228" customWidth="1"/>
    <col min="1244" max="1244" width="3.28515625" style="228" customWidth="1"/>
    <col min="1245" max="1245" width="8.42578125" style="228" bestFit="1" customWidth="1"/>
    <col min="1246" max="1246" width="8.85546875" style="228" customWidth="1"/>
    <col min="1247" max="1257" width="10.7109375" style="228" customWidth="1"/>
    <col min="1258" max="1258" width="13.28515625" style="228" customWidth="1"/>
    <col min="1259" max="1259" width="9.28515625" style="228" bestFit="1" customWidth="1"/>
    <col min="1260" max="1260" width="15.7109375" style="228" customWidth="1"/>
    <col min="1261" max="1261" width="7" style="228" customWidth="1"/>
    <col min="1262" max="1263" width="13" style="228" customWidth="1"/>
    <col min="1264" max="1270" width="18.7109375" style="228" customWidth="1"/>
    <col min="1271" max="1271" width="21.7109375" style="228" bestFit="1" customWidth="1"/>
    <col min="1272" max="1273" width="8.7109375" style="228" customWidth="1"/>
    <col min="1274" max="1274" width="18.42578125" style="228" customWidth="1"/>
    <col min="1275" max="1280" width="15" style="228" customWidth="1"/>
    <col min="1281" max="1281" width="21.7109375" style="228" bestFit="1" customWidth="1"/>
    <col min="1282" max="1282" width="7.28515625" style="228" customWidth="1"/>
    <col min="1283" max="1283" width="14.85546875" style="228" customWidth="1"/>
    <col min="1284" max="1284" width="15.140625" style="228" bestFit="1" customWidth="1"/>
    <col min="1285" max="1285" width="25.42578125" style="228" customWidth="1"/>
    <col min="1286" max="1286" width="5.85546875" style="228" bestFit="1" customWidth="1"/>
    <col min="1287" max="1287" width="6.7109375" style="228" bestFit="1" customWidth="1"/>
    <col min="1288" max="1292" width="8.42578125" style="228" bestFit="1" customWidth="1"/>
    <col min="1293" max="1295" width="14" style="228" customWidth="1"/>
    <col min="1296" max="1489" width="9.140625" style="228"/>
    <col min="1490" max="1491" width="8.7109375" style="228" customWidth="1"/>
    <col min="1492" max="1492" width="4.7109375" style="228" customWidth="1"/>
    <col min="1493" max="1493" width="10.7109375" style="228" customWidth="1"/>
    <col min="1494" max="1494" width="5.7109375" style="228" customWidth="1"/>
    <col min="1495" max="1495" width="3.28515625" style="228" bestFit="1" customWidth="1"/>
    <col min="1496" max="1496" width="8.7109375" style="228" customWidth="1"/>
    <col min="1497" max="1497" width="4.7109375" style="228" customWidth="1"/>
    <col min="1498" max="1498" width="10.7109375" style="228" customWidth="1"/>
    <col min="1499" max="1499" width="5.7109375" style="228" customWidth="1"/>
    <col min="1500" max="1500" width="3.28515625" style="228" customWidth="1"/>
    <col min="1501" max="1501" width="8.42578125" style="228" bestFit="1" customWidth="1"/>
    <col min="1502" max="1502" width="8.85546875" style="228" customWidth="1"/>
    <col min="1503" max="1513" width="10.7109375" style="228" customWidth="1"/>
    <col min="1514" max="1514" width="13.28515625" style="228" customWidth="1"/>
    <col min="1515" max="1515" width="9.28515625" style="228" bestFit="1" customWidth="1"/>
    <col min="1516" max="1516" width="15.7109375" style="228" customWidth="1"/>
    <col min="1517" max="1517" width="7" style="228" customWidth="1"/>
    <col min="1518" max="1519" width="13" style="228" customWidth="1"/>
    <col min="1520" max="1526" width="18.7109375" style="228" customWidth="1"/>
    <col min="1527" max="1527" width="21.7109375" style="228" bestFit="1" customWidth="1"/>
    <col min="1528" max="1529" width="8.7109375" style="228" customWidth="1"/>
    <col min="1530" max="1530" width="18.42578125" style="228" customWidth="1"/>
    <col min="1531" max="1536" width="15" style="228" customWidth="1"/>
    <col min="1537" max="1537" width="21.7109375" style="228" bestFit="1" customWidth="1"/>
    <col min="1538" max="1538" width="7.28515625" style="228" customWidth="1"/>
    <col min="1539" max="1539" width="14.85546875" style="228" customWidth="1"/>
    <col min="1540" max="1540" width="15.140625" style="228" bestFit="1" customWidth="1"/>
    <col min="1541" max="1541" width="25.42578125" style="228" customWidth="1"/>
    <col min="1542" max="1542" width="5.85546875" style="228" bestFit="1" customWidth="1"/>
    <col min="1543" max="1543" width="6.7109375" style="228" bestFit="1" customWidth="1"/>
    <col min="1544" max="1548" width="8.42578125" style="228" bestFit="1" customWidth="1"/>
    <col min="1549" max="1551" width="14" style="228" customWidth="1"/>
    <col min="1552" max="1745" width="9.140625" style="228"/>
    <col min="1746" max="1747" width="8.7109375" style="228" customWidth="1"/>
    <col min="1748" max="1748" width="4.7109375" style="228" customWidth="1"/>
    <col min="1749" max="1749" width="10.7109375" style="228" customWidth="1"/>
    <col min="1750" max="1750" width="5.7109375" style="228" customWidth="1"/>
    <col min="1751" max="1751" width="3.28515625" style="228" bestFit="1" customWidth="1"/>
    <col min="1752" max="1752" width="8.7109375" style="228" customWidth="1"/>
    <col min="1753" max="1753" width="4.7109375" style="228" customWidth="1"/>
    <col min="1754" max="1754" width="10.7109375" style="228" customWidth="1"/>
    <col min="1755" max="1755" width="5.7109375" style="228" customWidth="1"/>
    <col min="1756" max="1756" width="3.28515625" style="228" customWidth="1"/>
    <col min="1757" max="1757" width="8.42578125" style="228" bestFit="1" customWidth="1"/>
    <col min="1758" max="1758" width="8.85546875" style="228" customWidth="1"/>
    <col min="1759" max="1769" width="10.7109375" style="228" customWidth="1"/>
    <col min="1770" max="1770" width="13.28515625" style="228" customWidth="1"/>
    <col min="1771" max="1771" width="9.28515625" style="228" bestFit="1" customWidth="1"/>
    <col min="1772" max="1772" width="15.7109375" style="228" customWidth="1"/>
    <col min="1773" max="1773" width="7" style="228" customWidth="1"/>
    <col min="1774" max="1775" width="13" style="228" customWidth="1"/>
    <col min="1776" max="1782" width="18.7109375" style="228" customWidth="1"/>
    <col min="1783" max="1783" width="21.7109375" style="228" bestFit="1" customWidth="1"/>
    <col min="1784" max="1785" width="8.7109375" style="228" customWidth="1"/>
    <col min="1786" max="1786" width="18.42578125" style="228" customWidth="1"/>
    <col min="1787" max="1792" width="15" style="228" customWidth="1"/>
    <col min="1793" max="1793" width="21.7109375" style="228" bestFit="1" customWidth="1"/>
    <col min="1794" max="1794" width="7.28515625" style="228" customWidth="1"/>
    <col min="1795" max="1795" width="14.85546875" style="228" customWidth="1"/>
    <col min="1796" max="1796" width="15.140625" style="228" bestFit="1" customWidth="1"/>
    <col min="1797" max="1797" width="25.42578125" style="228" customWidth="1"/>
    <col min="1798" max="1798" width="5.85546875" style="228" bestFit="1" customWidth="1"/>
    <col min="1799" max="1799" width="6.7109375" style="228" bestFit="1" customWidth="1"/>
    <col min="1800" max="1804" width="8.42578125" style="228" bestFit="1" customWidth="1"/>
    <col min="1805" max="1807" width="14" style="228" customWidth="1"/>
    <col min="1808" max="2001" width="9.140625" style="228"/>
    <col min="2002" max="2003" width="8.7109375" style="228" customWidth="1"/>
    <col min="2004" max="2004" width="4.7109375" style="228" customWidth="1"/>
    <col min="2005" max="2005" width="10.7109375" style="228" customWidth="1"/>
    <col min="2006" max="2006" width="5.7109375" style="228" customWidth="1"/>
    <col min="2007" max="2007" width="3.28515625" style="228" bestFit="1" customWidth="1"/>
    <col min="2008" max="2008" width="8.7109375" style="228" customWidth="1"/>
    <col min="2009" max="2009" width="4.7109375" style="228" customWidth="1"/>
    <col min="2010" max="2010" width="10.7109375" style="228" customWidth="1"/>
    <col min="2011" max="2011" width="5.7109375" style="228" customWidth="1"/>
    <col min="2012" max="2012" width="3.28515625" style="228" customWidth="1"/>
    <col min="2013" max="2013" width="8.42578125" style="228" bestFit="1" customWidth="1"/>
    <col min="2014" max="2014" width="8.85546875" style="228" customWidth="1"/>
    <col min="2015" max="2025" width="10.7109375" style="228" customWidth="1"/>
    <col min="2026" max="2026" width="13.28515625" style="228" customWidth="1"/>
    <col min="2027" max="2027" width="9.28515625" style="228" bestFit="1" customWidth="1"/>
    <col min="2028" max="2028" width="15.7109375" style="228" customWidth="1"/>
    <col min="2029" max="2029" width="7" style="228" customWidth="1"/>
    <col min="2030" max="2031" width="13" style="228" customWidth="1"/>
    <col min="2032" max="2038" width="18.7109375" style="228" customWidth="1"/>
    <col min="2039" max="2039" width="21.7109375" style="228" bestFit="1" customWidth="1"/>
    <col min="2040" max="2041" width="8.7109375" style="228" customWidth="1"/>
    <col min="2042" max="2042" width="18.42578125" style="228" customWidth="1"/>
    <col min="2043" max="2048" width="15" style="228" customWidth="1"/>
    <col min="2049" max="2049" width="21.7109375" style="228" bestFit="1" customWidth="1"/>
    <col min="2050" max="2050" width="7.28515625" style="228" customWidth="1"/>
    <col min="2051" max="2051" width="14.85546875" style="228" customWidth="1"/>
    <col min="2052" max="2052" width="15.140625" style="228" bestFit="1" customWidth="1"/>
    <col min="2053" max="2053" width="25.42578125" style="228" customWidth="1"/>
    <col min="2054" max="2054" width="5.85546875" style="228" bestFit="1" customWidth="1"/>
    <col min="2055" max="2055" width="6.7109375" style="228" bestFit="1" customWidth="1"/>
    <col min="2056" max="2060" width="8.42578125" style="228" bestFit="1" customWidth="1"/>
    <col min="2061" max="2063" width="14" style="228" customWidth="1"/>
    <col min="2064" max="2257" width="9.140625" style="228"/>
    <col min="2258" max="2259" width="8.7109375" style="228" customWidth="1"/>
    <col min="2260" max="2260" width="4.7109375" style="228" customWidth="1"/>
    <col min="2261" max="2261" width="10.7109375" style="228" customWidth="1"/>
    <col min="2262" max="2262" width="5.7109375" style="228" customWidth="1"/>
    <col min="2263" max="2263" width="3.28515625" style="228" bestFit="1" customWidth="1"/>
    <col min="2264" max="2264" width="8.7109375" style="228" customWidth="1"/>
    <col min="2265" max="2265" width="4.7109375" style="228" customWidth="1"/>
    <col min="2266" max="2266" width="10.7109375" style="228" customWidth="1"/>
    <col min="2267" max="2267" width="5.7109375" style="228" customWidth="1"/>
    <col min="2268" max="2268" width="3.28515625" style="228" customWidth="1"/>
    <col min="2269" max="2269" width="8.42578125" style="228" bestFit="1" customWidth="1"/>
    <col min="2270" max="2270" width="8.85546875" style="228" customWidth="1"/>
    <col min="2271" max="2281" width="10.7109375" style="228" customWidth="1"/>
    <col min="2282" max="2282" width="13.28515625" style="228" customWidth="1"/>
    <col min="2283" max="2283" width="9.28515625" style="228" bestFit="1" customWidth="1"/>
    <col min="2284" max="2284" width="15.7109375" style="228" customWidth="1"/>
    <col min="2285" max="2285" width="7" style="228" customWidth="1"/>
    <col min="2286" max="2287" width="13" style="228" customWidth="1"/>
    <col min="2288" max="2294" width="18.7109375" style="228" customWidth="1"/>
    <col min="2295" max="2295" width="21.7109375" style="228" bestFit="1" customWidth="1"/>
    <col min="2296" max="2297" width="8.7109375" style="228" customWidth="1"/>
    <col min="2298" max="2298" width="18.42578125" style="228" customWidth="1"/>
    <col min="2299" max="2304" width="15" style="228" customWidth="1"/>
    <col min="2305" max="2305" width="21.7109375" style="228" bestFit="1" customWidth="1"/>
    <col min="2306" max="2306" width="7.28515625" style="228" customWidth="1"/>
    <col min="2307" max="2307" width="14.85546875" style="228" customWidth="1"/>
    <col min="2308" max="2308" width="15.140625" style="228" bestFit="1" customWidth="1"/>
    <col min="2309" max="2309" width="25.42578125" style="228" customWidth="1"/>
    <col min="2310" max="2310" width="5.85546875" style="228" bestFit="1" customWidth="1"/>
    <col min="2311" max="2311" width="6.7109375" style="228" bestFit="1" customWidth="1"/>
    <col min="2312" max="2316" width="8.42578125" style="228" bestFit="1" customWidth="1"/>
    <col min="2317" max="2319" width="14" style="228" customWidth="1"/>
    <col min="2320" max="2513" width="9.140625" style="228"/>
    <col min="2514" max="2515" width="8.7109375" style="228" customWidth="1"/>
    <col min="2516" max="2516" width="4.7109375" style="228" customWidth="1"/>
    <col min="2517" max="2517" width="10.7109375" style="228" customWidth="1"/>
    <col min="2518" max="2518" width="5.7109375" style="228" customWidth="1"/>
    <col min="2519" max="2519" width="3.28515625" style="228" bestFit="1" customWidth="1"/>
    <col min="2520" max="2520" width="8.7109375" style="228" customWidth="1"/>
    <col min="2521" max="2521" width="4.7109375" style="228" customWidth="1"/>
    <col min="2522" max="2522" width="10.7109375" style="228" customWidth="1"/>
    <col min="2523" max="2523" width="5.7109375" style="228" customWidth="1"/>
    <col min="2524" max="2524" width="3.28515625" style="228" customWidth="1"/>
    <col min="2525" max="2525" width="8.42578125" style="228" bestFit="1" customWidth="1"/>
    <col min="2526" max="2526" width="8.85546875" style="228" customWidth="1"/>
    <col min="2527" max="2537" width="10.7109375" style="228" customWidth="1"/>
    <col min="2538" max="2538" width="13.28515625" style="228" customWidth="1"/>
    <col min="2539" max="2539" width="9.28515625" style="228" bestFit="1" customWidth="1"/>
    <col min="2540" max="2540" width="15.7109375" style="228" customWidth="1"/>
    <col min="2541" max="2541" width="7" style="228" customWidth="1"/>
    <col min="2542" max="2543" width="13" style="228" customWidth="1"/>
    <col min="2544" max="2550" width="18.7109375" style="228" customWidth="1"/>
    <col min="2551" max="2551" width="21.7109375" style="228" bestFit="1" customWidth="1"/>
    <col min="2552" max="2553" width="8.7109375" style="228" customWidth="1"/>
    <col min="2554" max="2554" width="18.42578125" style="228" customWidth="1"/>
    <col min="2555" max="2560" width="15" style="228" customWidth="1"/>
    <col min="2561" max="2561" width="21.7109375" style="228" bestFit="1" customWidth="1"/>
    <col min="2562" max="2562" width="7.28515625" style="228" customWidth="1"/>
    <col min="2563" max="2563" width="14.85546875" style="228" customWidth="1"/>
    <col min="2564" max="2564" width="15.140625" style="228" bestFit="1" customWidth="1"/>
    <col min="2565" max="2565" width="25.42578125" style="228" customWidth="1"/>
    <col min="2566" max="2566" width="5.85546875" style="228" bestFit="1" customWidth="1"/>
    <col min="2567" max="2567" width="6.7109375" style="228" bestFit="1" customWidth="1"/>
    <col min="2568" max="2572" width="8.42578125" style="228" bestFit="1" customWidth="1"/>
    <col min="2573" max="2575" width="14" style="228" customWidth="1"/>
    <col min="2576" max="2769" width="9.140625" style="228"/>
    <col min="2770" max="2771" width="8.7109375" style="228" customWidth="1"/>
    <col min="2772" max="2772" width="4.7109375" style="228" customWidth="1"/>
    <col min="2773" max="2773" width="10.7109375" style="228" customWidth="1"/>
    <col min="2774" max="2774" width="5.7109375" style="228" customWidth="1"/>
    <col min="2775" max="2775" width="3.28515625" style="228" bestFit="1" customWidth="1"/>
    <col min="2776" max="2776" width="8.7109375" style="228" customWidth="1"/>
    <col min="2777" max="2777" width="4.7109375" style="228" customWidth="1"/>
    <col min="2778" max="2778" width="10.7109375" style="228" customWidth="1"/>
    <col min="2779" max="2779" width="5.7109375" style="228" customWidth="1"/>
    <col min="2780" max="2780" width="3.28515625" style="228" customWidth="1"/>
    <col min="2781" max="2781" width="8.42578125" style="228" bestFit="1" customWidth="1"/>
    <col min="2782" max="2782" width="8.85546875" style="228" customWidth="1"/>
    <col min="2783" max="2793" width="10.7109375" style="228" customWidth="1"/>
    <col min="2794" max="2794" width="13.28515625" style="228" customWidth="1"/>
    <col min="2795" max="2795" width="9.28515625" style="228" bestFit="1" customWidth="1"/>
    <col min="2796" max="2796" width="15.7109375" style="228" customWidth="1"/>
    <col min="2797" max="2797" width="7" style="228" customWidth="1"/>
    <col min="2798" max="2799" width="13" style="228" customWidth="1"/>
    <col min="2800" max="2806" width="18.7109375" style="228" customWidth="1"/>
    <col min="2807" max="2807" width="21.7109375" style="228" bestFit="1" customWidth="1"/>
    <col min="2808" max="2809" width="8.7109375" style="228" customWidth="1"/>
    <col min="2810" max="2810" width="18.42578125" style="228" customWidth="1"/>
    <col min="2811" max="2816" width="15" style="228" customWidth="1"/>
    <col min="2817" max="2817" width="21.7109375" style="228" bestFit="1" customWidth="1"/>
    <col min="2818" max="2818" width="7.28515625" style="228" customWidth="1"/>
    <col min="2819" max="2819" width="14.85546875" style="228" customWidth="1"/>
    <col min="2820" max="2820" width="15.140625" style="228" bestFit="1" customWidth="1"/>
    <col min="2821" max="2821" width="25.42578125" style="228" customWidth="1"/>
    <col min="2822" max="2822" width="5.85546875" style="228" bestFit="1" customWidth="1"/>
    <col min="2823" max="2823" width="6.7109375" style="228" bestFit="1" customWidth="1"/>
    <col min="2824" max="2828" width="8.42578125" style="228" bestFit="1" customWidth="1"/>
    <col min="2829" max="2831" width="14" style="228" customWidth="1"/>
    <col min="2832" max="3025" width="9.140625" style="228"/>
    <col min="3026" max="3027" width="8.7109375" style="228" customWidth="1"/>
    <col min="3028" max="3028" width="4.7109375" style="228" customWidth="1"/>
    <col min="3029" max="3029" width="10.7109375" style="228" customWidth="1"/>
    <col min="3030" max="3030" width="5.7109375" style="228" customWidth="1"/>
    <col min="3031" max="3031" width="3.28515625" style="228" bestFit="1" customWidth="1"/>
    <col min="3032" max="3032" width="8.7109375" style="228" customWidth="1"/>
    <col min="3033" max="3033" width="4.7109375" style="228" customWidth="1"/>
    <col min="3034" max="3034" width="10.7109375" style="228" customWidth="1"/>
    <col min="3035" max="3035" width="5.7109375" style="228" customWidth="1"/>
    <col min="3036" max="3036" width="3.28515625" style="228" customWidth="1"/>
    <col min="3037" max="3037" width="8.42578125" style="228" bestFit="1" customWidth="1"/>
    <col min="3038" max="3038" width="8.85546875" style="228" customWidth="1"/>
    <col min="3039" max="3049" width="10.7109375" style="228" customWidth="1"/>
    <col min="3050" max="3050" width="13.28515625" style="228" customWidth="1"/>
    <col min="3051" max="3051" width="9.28515625" style="228" bestFit="1" customWidth="1"/>
    <col min="3052" max="3052" width="15.7109375" style="228" customWidth="1"/>
    <col min="3053" max="3053" width="7" style="228" customWidth="1"/>
    <col min="3054" max="3055" width="13" style="228" customWidth="1"/>
    <col min="3056" max="3062" width="18.7109375" style="228" customWidth="1"/>
    <col min="3063" max="3063" width="21.7109375" style="228" bestFit="1" customWidth="1"/>
    <col min="3064" max="3065" width="8.7109375" style="228" customWidth="1"/>
    <col min="3066" max="3066" width="18.42578125" style="228" customWidth="1"/>
    <col min="3067" max="3072" width="15" style="228" customWidth="1"/>
    <col min="3073" max="3073" width="21.7109375" style="228" bestFit="1" customWidth="1"/>
    <col min="3074" max="3074" width="7.28515625" style="228" customWidth="1"/>
    <col min="3075" max="3075" width="14.85546875" style="228" customWidth="1"/>
    <col min="3076" max="3076" width="15.140625" style="228" bestFit="1" customWidth="1"/>
    <col min="3077" max="3077" width="25.42578125" style="228" customWidth="1"/>
    <col min="3078" max="3078" width="5.85546875" style="228" bestFit="1" customWidth="1"/>
    <col min="3079" max="3079" width="6.7109375" style="228" bestFit="1" customWidth="1"/>
    <col min="3080" max="3084" width="8.42578125" style="228" bestFit="1" customWidth="1"/>
    <col min="3085" max="3087" width="14" style="228" customWidth="1"/>
    <col min="3088" max="3281" width="9.140625" style="228"/>
    <col min="3282" max="3283" width="8.7109375" style="228" customWidth="1"/>
    <col min="3284" max="3284" width="4.7109375" style="228" customWidth="1"/>
    <col min="3285" max="3285" width="10.7109375" style="228" customWidth="1"/>
    <col min="3286" max="3286" width="5.7109375" style="228" customWidth="1"/>
    <col min="3287" max="3287" width="3.28515625" style="228" bestFit="1" customWidth="1"/>
    <col min="3288" max="3288" width="8.7109375" style="228" customWidth="1"/>
    <col min="3289" max="3289" width="4.7109375" style="228" customWidth="1"/>
    <col min="3290" max="3290" width="10.7109375" style="228" customWidth="1"/>
    <col min="3291" max="3291" width="5.7109375" style="228" customWidth="1"/>
    <col min="3292" max="3292" width="3.28515625" style="228" customWidth="1"/>
    <col min="3293" max="3293" width="8.42578125" style="228" bestFit="1" customWidth="1"/>
    <col min="3294" max="3294" width="8.85546875" style="228" customWidth="1"/>
    <col min="3295" max="3305" width="10.7109375" style="228" customWidth="1"/>
    <col min="3306" max="3306" width="13.28515625" style="228" customWidth="1"/>
    <col min="3307" max="3307" width="9.28515625" style="228" bestFit="1" customWidth="1"/>
    <col min="3308" max="3308" width="15.7109375" style="228" customWidth="1"/>
    <col min="3309" max="3309" width="7" style="228" customWidth="1"/>
    <col min="3310" max="3311" width="13" style="228" customWidth="1"/>
    <col min="3312" max="3318" width="18.7109375" style="228" customWidth="1"/>
    <col min="3319" max="3319" width="21.7109375" style="228" bestFit="1" customWidth="1"/>
    <col min="3320" max="3321" width="8.7109375" style="228" customWidth="1"/>
    <col min="3322" max="3322" width="18.42578125" style="228" customWidth="1"/>
    <col min="3323" max="3328" width="15" style="228" customWidth="1"/>
    <col min="3329" max="3329" width="21.7109375" style="228" bestFit="1" customWidth="1"/>
    <col min="3330" max="3330" width="7.28515625" style="228" customWidth="1"/>
    <col min="3331" max="3331" width="14.85546875" style="228" customWidth="1"/>
    <col min="3332" max="3332" width="15.140625" style="228" bestFit="1" customWidth="1"/>
    <col min="3333" max="3333" width="25.42578125" style="228" customWidth="1"/>
    <col min="3334" max="3334" width="5.85546875" style="228" bestFit="1" customWidth="1"/>
    <col min="3335" max="3335" width="6.7109375" style="228" bestFit="1" customWidth="1"/>
    <col min="3336" max="3340" width="8.42578125" style="228" bestFit="1" customWidth="1"/>
    <col min="3341" max="3343" width="14" style="228" customWidth="1"/>
    <col min="3344" max="3537" width="9.140625" style="228"/>
    <col min="3538" max="3539" width="8.7109375" style="228" customWidth="1"/>
    <col min="3540" max="3540" width="4.7109375" style="228" customWidth="1"/>
    <col min="3541" max="3541" width="10.7109375" style="228" customWidth="1"/>
    <col min="3542" max="3542" width="5.7109375" style="228" customWidth="1"/>
    <col min="3543" max="3543" width="3.28515625" style="228" bestFit="1" customWidth="1"/>
    <col min="3544" max="3544" width="8.7109375" style="228" customWidth="1"/>
    <col min="3545" max="3545" width="4.7109375" style="228" customWidth="1"/>
    <col min="3546" max="3546" width="10.7109375" style="228" customWidth="1"/>
    <col min="3547" max="3547" width="5.7109375" style="228" customWidth="1"/>
    <col min="3548" max="3548" width="3.28515625" style="228" customWidth="1"/>
    <col min="3549" max="3549" width="8.42578125" style="228" bestFit="1" customWidth="1"/>
    <col min="3550" max="3550" width="8.85546875" style="228" customWidth="1"/>
    <col min="3551" max="3561" width="10.7109375" style="228" customWidth="1"/>
    <col min="3562" max="3562" width="13.28515625" style="228" customWidth="1"/>
    <col min="3563" max="3563" width="9.28515625" style="228" bestFit="1" customWidth="1"/>
    <col min="3564" max="3564" width="15.7109375" style="228" customWidth="1"/>
    <col min="3565" max="3565" width="7" style="228" customWidth="1"/>
    <col min="3566" max="3567" width="13" style="228" customWidth="1"/>
    <col min="3568" max="3574" width="18.7109375" style="228" customWidth="1"/>
    <col min="3575" max="3575" width="21.7109375" style="228" bestFit="1" customWidth="1"/>
    <col min="3576" max="3577" width="8.7109375" style="228" customWidth="1"/>
    <col min="3578" max="3578" width="18.42578125" style="228" customWidth="1"/>
    <col min="3579" max="3584" width="15" style="228" customWidth="1"/>
    <col min="3585" max="3585" width="21.7109375" style="228" bestFit="1" customWidth="1"/>
    <col min="3586" max="3586" width="7.28515625" style="228" customWidth="1"/>
    <col min="3587" max="3587" width="14.85546875" style="228" customWidth="1"/>
    <col min="3588" max="3588" width="15.140625" style="228" bestFit="1" customWidth="1"/>
    <col min="3589" max="3589" width="25.42578125" style="228" customWidth="1"/>
    <col min="3590" max="3590" width="5.85546875" style="228" bestFit="1" customWidth="1"/>
    <col min="3591" max="3591" width="6.7109375" style="228" bestFit="1" customWidth="1"/>
    <col min="3592" max="3596" width="8.42578125" style="228" bestFit="1" customWidth="1"/>
    <col min="3597" max="3599" width="14" style="228" customWidth="1"/>
    <col min="3600" max="3793" width="9.140625" style="228"/>
    <col min="3794" max="3795" width="8.7109375" style="228" customWidth="1"/>
    <col min="3796" max="3796" width="4.7109375" style="228" customWidth="1"/>
    <col min="3797" max="3797" width="10.7109375" style="228" customWidth="1"/>
    <col min="3798" max="3798" width="5.7109375" style="228" customWidth="1"/>
    <col min="3799" max="3799" width="3.28515625" style="228" bestFit="1" customWidth="1"/>
    <col min="3800" max="3800" width="8.7109375" style="228" customWidth="1"/>
    <col min="3801" max="3801" width="4.7109375" style="228" customWidth="1"/>
    <col min="3802" max="3802" width="10.7109375" style="228" customWidth="1"/>
    <col min="3803" max="3803" width="5.7109375" style="228" customWidth="1"/>
    <col min="3804" max="3804" width="3.28515625" style="228" customWidth="1"/>
    <col min="3805" max="3805" width="8.42578125" style="228" bestFit="1" customWidth="1"/>
    <col min="3806" max="3806" width="8.85546875" style="228" customWidth="1"/>
    <col min="3807" max="3817" width="10.7109375" style="228" customWidth="1"/>
    <col min="3818" max="3818" width="13.28515625" style="228" customWidth="1"/>
    <col min="3819" max="3819" width="9.28515625" style="228" bestFit="1" customWidth="1"/>
    <col min="3820" max="3820" width="15.7109375" style="228" customWidth="1"/>
    <col min="3821" max="3821" width="7" style="228" customWidth="1"/>
    <col min="3822" max="3823" width="13" style="228" customWidth="1"/>
    <col min="3824" max="3830" width="18.7109375" style="228" customWidth="1"/>
    <col min="3831" max="3831" width="21.7109375" style="228" bestFit="1" customWidth="1"/>
    <col min="3832" max="3833" width="8.7109375" style="228" customWidth="1"/>
    <col min="3834" max="3834" width="18.42578125" style="228" customWidth="1"/>
    <col min="3835" max="3840" width="15" style="228" customWidth="1"/>
    <col min="3841" max="3841" width="21.7109375" style="228" bestFit="1" customWidth="1"/>
    <col min="3842" max="3842" width="7.28515625" style="228" customWidth="1"/>
    <col min="3843" max="3843" width="14.85546875" style="228" customWidth="1"/>
    <col min="3844" max="3844" width="15.140625" style="228" bestFit="1" customWidth="1"/>
    <col min="3845" max="3845" width="25.42578125" style="228" customWidth="1"/>
    <col min="3846" max="3846" width="5.85546875" style="228" bestFit="1" customWidth="1"/>
    <col min="3847" max="3847" width="6.7109375" style="228" bestFit="1" customWidth="1"/>
    <col min="3848" max="3852" width="8.42578125" style="228" bestFit="1" customWidth="1"/>
    <col min="3853" max="3855" width="14" style="228" customWidth="1"/>
    <col min="3856" max="4049" width="9.140625" style="228"/>
    <col min="4050" max="4051" width="8.7109375" style="228" customWidth="1"/>
    <col min="4052" max="4052" width="4.7109375" style="228" customWidth="1"/>
    <col min="4053" max="4053" width="10.7109375" style="228" customWidth="1"/>
    <col min="4054" max="4054" width="5.7109375" style="228" customWidth="1"/>
    <col min="4055" max="4055" width="3.28515625" style="228" bestFit="1" customWidth="1"/>
    <col min="4056" max="4056" width="8.7109375" style="228" customWidth="1"/>
    <col min="4057" max="4057" width="4.7109375" style="228" customWidth="1"/>
    <col min="4058" max="4058" width="10.7109375" style="228" customWidth="1"/>
    <col min="4059" max="4059" width="5.7109375" style="228" customWidth="1"/>
    <col min="4060" max="4060" width="3.28515625" style="228" customWidth="1"/>
    <col min="4061" max="4061" width="8.42578125" style="228" bestFit="1" customWidth="1"/>
    <col min="4062" max="4062" width="8.85546875" style="228" customWidth="1"/>
    <col min="4063" max="4073" width="10.7109375" style="228" customWidth="1"/>
    <col min="4074" max="4074" width="13.28515625" style="228" customWidth="1"/>
    <col min="4075" max="4075" width="9.28515625" style="228" bestFit="1" customWidth="1"/>
    <col min="4076" max="4076" width="15.7109375" style="228" customWidth="1"/>
    <col min="4077" max="4077" width="7" style="228" customWidth="1"/>
    <col min="4078" max="4079" width="13" style="228" customWidth="1"/>
    <col min="4080" max="4086" width="18.7109375" style="228" customWidth="1"/>
    <col min="4087" max="4087" width="21.7109375" style="228" bestFit="1" customWidth="1"/>
    <col min="4088" max="4089" width="8.7109375" style="228" customWidth="1"/>
    <col min="4090" max="4090" width="18.42578125" style="228" customWidth="1"/>
    <col min="4091" max="4096" width="15" style="228" customWidth="1"/>
    <col min="4097" max="4097" width="21.7109375" style="228" bestFit="1" customWidth="1"/>
    <col min="4098" max="4098" width="7.28515625" style="228" customWidth="1"/>
    <col min="4099" max="4099" width="14.85546875" style="228" customWidth="1"/>
    <col min="4100" max="4100" width="15.140625" style="228" bestFit="1" customWidth="1"/>
    <col min="4101" max="4101" width="25.42578125" style="228" customWidth="1"/>
    <col min="4102" max="4102" width="5.85546875" style="228" bestFit="1" customWidth="1"/>
    <col min="4103" max="4103" width="6.7109375" style="228" bestFit="1" customWidth="1"/>
    <col min="4104" max="4108" width="8.42578125" style="228" bestFit="1" customWidth="1"/>
    <col min="4109" max="4111" width="14" style="228" customWidth="1"/>
    <col min="4112" max="4305" width="9.140625" style="228"/>
    <col min="4306" max="4307" width="8.7109375" style="228" customWidth="1"/>
    <col min="4308" max="4308" width="4.7109375" style="228" customWidth="1"/>
    <col min="4309" max="4309" width="10.7109375" style="228" customWidth="1"/>
    <col min="4310" max="4310" width="5.7109375" style="228" customWidth="1"/>
    <col min="4311" max="4311" width="3.28515625" style="228" bestFit="1" customWidth="1"/>
    <col min="4312" max="4312" width="8.7109375" style="228" customWidth="1"/>
    <col min="4313" max="4313" width="4.7109375" style="228" customWidth="1"/>
    <col min="4314" max="4314" width="10.7109375" style="228" customWidth="1"/>
    <col min="4315" max="4315" width="5.7109375" style="228" customWidth="1"/>
    <col min="4316" max="4316" width="3.28515625" style="228" customWidth="1"/>
    <col min="4317" max="4317" width="8.42578125" style="228" bestFit="1" customWidth="1"/>
    <col min="4318" max="4318" width="8.85546875" style="228" customWidth="1"/>
    <col min="4319" max="4329" width="10.7109375" style="228" customWidth="1"/>
    <col min="4330" max="4330" width="13.28515625" style="228" customWidth="1"/>
    <col min="4331" max="4331" width="9.28515625" style="228" bestFit="1" customWidth="1"/>
    <col min="4332" max="4332" width="15.7109375" style="228" customWidth="1"/>
    <col min="4333" max="4333" width="7" style="228" customWidth="1"/>
    <col min="4334" max="4335" width="13" style="228" customWidth="1"/>
    <col min="4336" max="4342" width="18.7109375" style="228" customWidth="1"/>
    <col min="4343" max="4343" width="21.7109375" style="228" bestFit="1" customWidth="1"/>
    <col min="4344" max="4345" width="8.7109375" style="228" customWidth="1"/>
    <col min="4346" max="4346" width="18.42578125" style="228" customWidth="1"/>
    <col min="4347" max="4352" width="15" style="228" customWidth="1"/>
    <col min="4353" max="4353" width="21.7109375" style="228" bestFit="1" customWidth="1"/>
    <col min="4354" max="4354" width="7.28515625" style="228" customWidth="1"/>
    <col min="4355" max="4355" width="14.85546875" style="228" customWidth="1"/>
    <col min="4356" max="4356" width="15.140625" style="228" bestFit="1" customWidth="1"/>
    <col min="4357" max="4357" width="25.42578125" style="228" customWidth="1"/>
    <col min="4358" max="4358" width="5.85546875" style="228" bestFit="1" customWidth="1"/>
    <col min="4359" max="4359" width="6.7109375" style="228" bestFit="1" customWidth="1"/>
    <col min="4360" max="4364" width="8.42578125" style="228" bestFit="1" customWidth="1"/>
    <col min="4365" max="4367" width="14" style="228" customWidth="1"/>
    <col min="4368" max="4561" width="9.140625" style="228"/>
    <col min="4562" max="4563" width="8.7109375" style="228" customWidth="1"/>
    <col min="4564" max="4564" width="4.7109375" style="228" customWidth="1"/>
    <col min="4565" max="4565" width="10.7109375" style="228" customWidth="1"/>
    <col min="4566" max="4566" width="5.7109375" style="228" customWidth="1"/>
    <col min="4567" max="4567" width="3.28515625" style="228" bestFit="1" customWidth="1"/>
    <col min="4568" max="4568" width="8.7109375" style="228" customWidth="1"/>
    <col min="4569" max="4569" width="4.7109375" style="228" customWidth="1"/>
    <col min="4570" max="4570" width="10.7109375" style="228" customWidth="1"/>
    <col min="4571" max="4571" width="5.7109375" style="228" customWidth="1"/>
    <col min="4572" max="4572" width="3.28515625" style="228" customWidth="1"/>
    <col min="4573" max="4573" width="8.42578125" style="228" bestFit="1" customWidth="1"/>
    <col min="4574" max="4574" width="8.85546875" style="228" customWidth="1"/>
    <col min="4575" max="4585" width="10.7109375" style="228" customWidth="1"/>
    <col min="4586" max="4586" width="13.28515625" style="228" customWidth="1"/>
    <col min="4587" max="4587" width="9.28515625" style="228" bestFit="1" customWidth="1"/>
    <col min="4588" max="4588" width="15.7109375" style="228" customWidth="1"/>
    <col min="4589" max="4589" width="7" style="228" customWidth="1"/>
    <col min="4590" max="4591" width="13" style="228" customWidth="1"/>
    <col min="4592" max="4598" width="18.7109375" style="228" customWidth="1"/>
    <col min="4599" max="4599" width="21.7109375" style="228" bestFit="1" customWidth="1"/>
    <col min="4600" max="4601" width="8.7109375" style="228" customWidth="1"/>
    <col min="4602" max="4602" width="18.42578125" style="228" customWidth="1"/>
    <col min="4603" max="4608" width="15" style="228" customWidth="1"/>
    <col min="4609" max="4609" width="21.7109375" style="228" bestFit="1" customWidth="1"/>
    <col min="4610" max="4610" width="7.28515625" style="228" customWidth="1"/>
    <col min="4611" max="4611" width="14.85546875" style="228" customWidth="1"/>
    <col min="4612" max="4612" width="15.140625" style="228" bestFit="1" customWidth="1"/>
    <col min="4613" max="4613" width="25.42578125" style="228" customWidth="1"/>
    <col min="4614" max="4614" width="5.85546875" style="228" bestFit="1" customWidth="1"/>
    <col min="4615" max="4615" width="6.7109375" style="228" bestFit="1" customWidth="1"/>
    <col min="4616" max="4620" width="8.42578125" style="228" bestFit="1" customWidth="1"/>
    <col min="4621" max="4623" width="14" style="228" customWidth="1"/>
    <col min="4624" max="4817" width="9.140625" style="228"/>
    <col min="4818" max="4819" width="8.7109375" style="228" customWidth="1"/>
    <col min="4820" max="4820" width="4.7109375" style="228" customWidth="1"/>
    <col min="4821" max="4821" width="10.7109375" style="228" customWidth="1"/>
    <col min="4822" max="4822" width="5.7109375" style="228" customWidth="1"/>
    <col min="4823" max="4823" width="3.28515625" style="228" bestFit="1" customWidth="1"/>
    <col min="4824" max="4824" width="8.7109375" style="228" customWidth="1"/>
    <col min="4825" max="4825" width="4.7109375" style="228" customWidth="1"/>
    <col min="4826" max="4826" width="10.7109375" style="228" customWidth="1"/>
    <col min="4827" max="4827" width="5.7109375" style="228" customWidth="1"/>
    <col min="4828" max="4828" width="3.28515625" style="228" customWidth="1"/>
    <col min="4829" max="4829" width="8.42578125" style="228" bestFit="1" customWidth="1"/>
    <col min="4830" max="4830" width="8.85546875" style="228" customWidth="1"/>
    <col min="4831" max="4841" width="10.7109375" style="228" customWidth="1"/>
    <col min="4842" max="4842" width="13.28515625" style="228" customWidth="1"/>
    <col min="4843" max="4843" width="9.28515625" style="228" bestFit="1" customWidth="1"/>
    <col min="4844" max="4844" width="15.7109375" style="228" customWidth="1"/>
    <col min="4845" max="4845" width="7" style="228" customWidth="1"/>
    <col min="4846" max="4847" width="13" style="228" customWidth="1"/>
    <col min="4848" max="4854" width="18.7109375" style="228" customWidth="1"/>
    <col min="4855" max="4855" width="21.7109375" style="228" bestFit="1" customWidth="1"/>
    <col min="4856" max="4857" width="8.7109375" style="228" customWidth="1"/>
    <col min="4858" max="4858" width="18.42578125" style="228" customWidth="1"/>
    <col min="4859" max="4864" width="15" style="228" customWidth="1"/>
    <col min="4865" max="4865" width="21.7109375" style="228" bestFit="1" customWidth="1"/>
    <col min="4866" max="4866" width="7.28515625" style="228" customWidth="1"/>
    <col min="4867" max="4867" width="14.85546875" style="228" customWidth="1"/>
    <col min="4868" max="4868" width="15.140625" style="228" bestFit="1" customWidth="1"/>
    <col min="4869" max="4869" width="25.42578125" style="228" customWidth="1"/>
    <col min="4870" max="4870" width="5.85546875" style="228" bestFit="1" customWidth="1"/>
    <col min="4871" max="4871" width="6.7109375" style="228" bestFit="1" customWidth="1"/>
    <col min="4872" max="4876" width="8.42578125" style="228" bestFit="1" customWidth="1"/>
    <col min="4877" max="4879" width="14" style="228" customWidth="1"/>
    <col min="4880" max="5073" width="9.140625" style="228"/>
    <col min="5074" max="5075" width="8.7109375" style="228" customWidth="1"/>
    <col min="5076" max="5076" width="4.7109375" style="228" customWidth="1"/>
    <col min="5077" max="5077" width="10.7109375" style="228" customWidth="1"/>
    <col min="5078" max="5078" width="5.7109375" style="228" customWidth="1"/>
    <col min="5079" max="5079" width="3.28515625" style="228" bestFit="1" customWidth="1"/>
    <col min="5080" max="5080" width="8.7109375" style="228" customWidth="1"/>
    <col min="5081" max="5081" width="4.7109375" style="228" customWidth="1"/>
    <col min="5082" max="5082" width="10.7109375" style="228" customWidth="1"/>
    <col min="5083" max="5083" width="5.7109375" style="228" customWidth="1"/>
    <col min="5084" max="5084" width="3.28515625" style="228" customWidth="1"/>
    <col min="5085" max="5085" width="8.42578125" style="228" bestFit="1" customWidth="1"/>
    <col min="5086" max="5086" width="8.85546875" style="228" customWidth="1"/>
    <col min="5087" max="5097" width="10.7109375" style="228" customWidth="1"/>
    <col min="5098" max="5098" width="13.28515625" style="228" customWidth="1"/>
    <col min="5099" max="5099" width="9.28515625" style="228" bestFit="1" customWidth="1"/>
    <col min="5100" max="5100" width="15.7109375" style="228" customWidth="1"/>
    <col min="5101" max="5101" width="7" style="228" customWidth="1"/>
    <col min="5102" max="5103" width="13" style="228" customWidth="1"/>
    <col min="5104" max="5110" width="18.7109375" style="228" customWidth="1"/>
    <col min="5111" max="5111" width="21.7109375" style="228" bestFit="1" customWidth="1"/>
    <col min="5112" max="5113" width="8.7109375" style="228" customWidth="1"/>
    <col min="5114" max="5114" width="18.42578125" style="228" customWidth="1"/>
    <col min="5115" max="5120" width="15" style="228" customWidth="1"/>
    <col min="5121" max="5121" width="21.7109375" style="228" bestFit="1" customWidth="1"/>
    <col min="5122" max="5122" width="7.28515625" style="228" customWidth="1"/>
    <col min="5123" max="5123" width="14.85546875" style="228" customWidth="1"/>
    <col min="5124" max="5124" width="15.140625" style="228" bestFit="1" customWidth="1"/>
    <col min="5125" max="5125" width="25.42578125" style="228" customWidth="1"/>
    <col min="5126" max="5126" width="5.85546875" style="228" bestFit="1" customWidth="1"/>
    <col min="5127" max="5127" width="6.7109375" style="228" bestFit="1" customWidth="1"/>
    <col min="5128" max="5132" width="8.42578125" style="228" bestFit="1" customWidth="1"/>
    <col min="5133" max="5135" width="14" style="228" customWidth="1"/>
    <col min="5136" max="5329" width="9.140625" style="228"/>
    <col min="5330" max="5331" width="8.7109375" style="228" customWidth="1"/>
    <col min="5332" max="5332" width="4.7109375" style="228" customWidth="1"/>
    <col min="5333" max="5333" width="10.7109375" style="228" customWidth="1"/>
    <col min="5334" max="5334" width="5.7109375" style="228" customWidth="1"/>
    <col min="5335" max="5335" width="3.28515625" style="228" bestFit="1" customWidth="1"/>
    <col min="5336" max="5336" width="8.7109375" style="228" customWidth="1"/>
    <col min="5337" max="5337" width="4.7109375" style="228" customWidth="1"/>
    <col min="5338" max="5338" width="10.7109375" style="228" customWidth="1"/>
    <col min="5339" max="5339" width="5.7109375" style="228" customWidth="1"/>
    <col min="5340" max="5340" width="3.28515625" style="228" customWidth="1"/>
    <col min="5341" max="5341" width="8.42578125" style="228" bestFit="1" customWidth="1"/>
    <col min="5342" max="5342" width="8.85546875" style="228" customWidth="1"/>
    <col min="5343" max="5353" width="10.7109375" style="228" customWidth="1"/>
    <col min="5354" max="5354" width="13.28515625" style="228" customWidth="1"/>
    <col min="5355" max="5355" width="9.28515625" style="228" bestFit="1" customWidth="1"/>
    <col min="5356" max="5356" width="15.7109375" style="228" customWidth="1"/>
    <col min="5357" max="5357" width="7" style="228" customWidth="1"/>
    <col min="5358" max="5359" width="13" style="228" customWidth="1"/>
    <col min="5360" max="5366" width="18.7109375" style="228" customWidth="1"/>
    <col min="5367" max="5367" width="21.7109375" style="228" bestFit="1" customWidth="1"/>
    <col min="5368" max="5369" width="8.7109375" style="228" customWidth="1"/>
    <col min="5370" max="5370" width="18.42578125" style="228" customWidth="1"/>
    <col min="5371" max="5376" width="15" style="228" customWidth="1"/>
    <col min="5377" max="5377" width="21.7109375" style="228" bestFit="1" customWidth="1"/>
    <col min="5378" max="5378" width="7.28515625" style="228" customWidth="1"/>
    <col min="5379" max="5379" width="14.85546875" style="228" customWidth="1"/>
    <col min="5380" max="5380" width="15.140625" style="228" bestFit="1" customWidth="1"/>
    <col min="5381" max="5381" width="25.42578125" style="228" customWidth="1"/>
    <col min="5382" max="5382" width="5.85546875" style="228" bestFit="1" customWidth="1"/>
    <col min="5383" max="5383" width="6.7109375" style="228" bestFit="1" customWidth="1"/>
    <col min="5384" max="5388" width="8.42578125" style="228" bestFit="1" customWidth="1"/>
    <col min="5389" max="5391" width="14" style="228" customWidth="1"/>
    <col min="5392" max="5585" width="9.140625" style="228"/>
    <col min="5586" max="5587" width="8.7109375" style="228" customWidth="1"/>
    <col min="5588" max="5588" width="4.7109375" style="228" customWidth="1"/>
    <col min="5589" max="5589" width="10.7109375" style="228" customWidth="1"/>
    <col min="5590" max="5590" width="5.7109375" style="228" customWidth="1"/>
    <col min="5591" max="5591" width="3.28515625" style="228" bestFit="1" customWidth="1"/>
    <col min="5592" max="5592" width="8.7109375" style="228" customWidth="1"/>
    <col min="5593" max="5593" width="4.7109375" style="228" customWidth="1"/>
    <col min="5594" max="5594" width="10.7109375" style="228" customWidth="1"/>
    <col min="5595" max="5595" width="5.7109375" style="228" customWidth="1"/>
    <col min="5596" max="5596" width="3.28515625" style="228" customWidth="1"/>
    <col min="5597" max="5597" width="8.42578125" style="228" bestFit="1" customWidth="1"/>
    <col min="5598" max="5598" width="8.85546875" style="228" customWidth="1"/>
    <col min="5599" max="5609" width="10.7109375" style="228" customWidth="1"/>
    <col min="5610" max="5610" width="13.28515625" style="228" customWidth="1"/>
    <col min="5611" max="5611" width="9.28515625" style="228" bestFit="1" customWidth="1"/>
    <col min="5612" max="5612" width="15.7109375" style="228" customWidth="1"/>
    <col min="5613" max="5613" width="7" style="228" customWidth="1"/>
    <col min="5614" max="5615" width="13" style="228" customWidth="1"/>
    <col min="5616" max="5622" width="18.7109375" style="228" customWidth="1"/>
    <col min="5623" max="5623" width="21.7109375" style="228" bestFit="1" customWidth="1"/>
    <col min="5624" max="5625" width="8.7109375" style="228" customWidth="1"/>
    <col min="5626" max="5626" width="18.42578125" style="228" customWidth="1"/>
    <col min="5627" max="5632" width="15" style="228" customWidth="1"/>
    <col min="5633" max="5633" width="21.7109375" style="228" bestFit="1" customWidth="1"/>
    <col min="5634" max="5634" width="7.28515625" style="228" customWidth="1"/>
    <col min="5635" max="5635" width="14.85546875" style="228" customWidth="1"/>
    <col min="5636" max="5636" width="15.140625" style="228" bestFit="1" customWidth="1"/>
    <col min="5637" max="5637" width="25.42578125" style="228" customWidth="1"/>
    <col min="5638" max="5638" width="5.85546875" style="228" bestFit="1" customWidth="1"/>
    <col min="5639" max="5639" width="6.7109375" style="228" bestFit="1" customWidth="1"/>
    <col min="5640" max="5644" width="8.42578125" style="228" bestFit="1" customWidth="1"/>
    <col min="5645" max="5647" width="14" style="228" customWidth="1"/>
    <col min="5648" max="5841" width="9.140625" style="228"/>
    <col min="5842" max="5843" width="8.7109375" style="228" customWidth="1"/>
    <col min="5844" max="5844" width="4.7109375" style="228" customWidth="1"/>
    <col min="5845" max="5845" width="10.7109375" style="228" customWidth="1"/>
    <col min="5846" max="5846" width="5.7109375" style="228" customWidth="1"/>
    <col min="5847" max="5847" width="3.28515625" style="228" bestFit="1" customWidth="1"/>
    <col min="5848" max="5848" width="8.7109375" style="228" customWidth="1"/>
    <col min="5849" max="5849" width="4.7109375" style="228" customWidth="1"/>
    <col min="5850" max="5850" width="10.7109375" style="228" customWidth="1"/>
    <col min="5851" max="5851" width="5.7109375" style="228" customWidth="1"/>
    <col min="5852" max="5852" width="3.28515625" style="228" customWidth="1"/>
    <col min="5853" max="5853" width="8.42578125" style="228" bestFit="1" customWidth="1"/>
    <col min="5854" max="5854" width="8.85546875" style="228" customWidth="1"/>
    <col min="5855" max="5865" width="10.7109375" style="228" customWidth="1"/>
    <col min="5866" max="5866" width="13.28515625" style="228" customWidth="1"/>
    <col min="5867" max="5867" width="9.28515625" style="228" bestFit="1" customWidth="1"/>
    <col min="5868" max="5868" width="15.7109375" style="228" customWidth="1"/>
    <col min="5869" max="5869" width="7" style="228" customWidth="1"/>
    <col min="5870" max="5871" width="13" style="228" customWidth="1"/>
    <col min="5872" max="5878" width="18.7109375" style="228" customWidth="1"/>
    <col min="5879" max="5879" width="21.7109375" style="228" bestFit="1" customWidth="1"/>
    <col min="5880" max="5881" width="8.7109375" style="228" customWidth="1"/>
    <col min="5882" max="5882" width="18.42578125" style="228" customWidth="1"/>
    <col min="5883" max="5888" width="15" style="228" customWidth="1"/>
    <col min="5889" max="5889" width="21.7109375" style="228" bestFit="1" customWidth="1"/>
    <col min="5890" max="5890" width="7.28515625" style="228" customWidth="1"/>
    <col min="5891" max="5891" width="14.85546875" style="228" customWidth="1"/>
    <col min="5892" max="5892" width="15.140625" style="228" bestFit="1" customWidth="1"/>
    <col min="5893" max="5893" width="25.42578125" style="228" customWidth="1"/>
    <col min="5894" max="5894" width="5.85546875" style="228" bestFit="1" customWidth="1"/>
    <col min="5895" max="5895" width="6.7109375" style="228" bestFit="1" customWidth="1"/>
    <col min="5896" max="5900" width="8.42578125" style="228" bestFit="1" customWidth="1"/>
    <col min="5901" max="5903" width="14" style="228" customWidth="1"/>
    <col min="5904" max="6097" width="9.140625" style="228"/>
    <col min="6098" max="6099" width="8.7109375" style="228" customWidth="1"/>
    <col min="6100" max="6100" width="4.7109375" style="228" customWidth="1"/>
    <col min="6101" max="6101" width="10.7109375" style="228" customWidth="1"/>
    <col min="6102" max="6102" width="5.7109375" style="228" customWidth="1"/>
    <col min="6103" max="6103" width="3.28515625" style="228" bestFit="1" customWidth="1"/>
    <col min="6104" max="6104" width="8.7109375" style="228" customWidth="1"/>
    <col min="6105" max="6105" width="4.7109375" style="228" customWidth="1"/>
    <col min="6106" max="6106" width="10.7109375" style="228" customWidth="1"/>
    <col min="6107" max="6107" width="5.7109375" style="228" customWidth="1"/>
    <col min="6108" max="6108" width="3.28515625" style="228" customWidth="1"/>
    <col min="6109" max="6109" width="8.42578125" style="228" bestFit="1" customWidth="1"/>
    <col min="6110" max="6110" width="8.85546875" style="228" customWidth="1"/>
    <col min="6111" max="6121" width="10.7109375" style="228" customWidth="1"/>
    <col min="6122" max="6122" width="13.28515625" style="228" customWidth="1"/>
    <col min="6123" max="6123" width="9.28515625" style="228" bestFit="1" customWidth="1"/>
    <col min="6124" max="6124" width="15.7109375" style="228" customWidth="1"/>
    <col min="6125" max="6125" width="7" style="228" customWidth="1"/>
    <col min="6126" max="6127" width="13" style="228" customWidth="1"/>
    <col min="6128" max="6134" width="18.7109375" style="228" customWidth="1"/>
    <col min="6135" max="6135" width="21.7109375" style="228" bestFit="1" customWidth="1"/>
    <col min="6136" max="6137" width="8.7109375" style="228" customWidth="1"/>
    <col min="6138" max="6138" width="18.42578125" style="228" customWidth="1"/>
    <col min="6139" max="6144" width="15" style="228" customWidth="1"/>
    <col min="6145" max="6145" width="21.7109375" style="228" bestFit="1" customWidth="1"/>
    <col min="6146" max="6146" width="7.28515625" style="228" customWidth="1"/>
    <col min="6147" max="6147" width="14.85546875" style="228" customWidth="1"/>
    <col min="6148" max="6148" width="15.140625" style="228" bestFit="1" customWidth="1"/>
    <col min="6149" max="6149" width="25.42578125" style="228" customWidth="1"/>
    <col min="6150" max="6150" width="5.85546875" style="228" bestFit="1" customWidth="1"/>
    <col min="6151" max="6151" width="6.7109375" style="228" bestFit="1" customWidth="1"/>
    <col min="6152" max="6156" width="8.42578125" style="228" bestFit="1" customWidth="1"/>
    <col min="6157" max="6159" width="14" style="228" customWidth="1"/>
    <col min="6160" max="6353" width="9.140625" style="228"/>
    <col min="6354" max="6355" width="8.7109375" style="228" customWidth="1"/>
    <col min="6356" max="6356" width="4.7109375" style="228" customWidth="1"/>
    <col min="6357" max="6357" width="10.7109375" style="228" customWidth="1"/>
    <col min="6358" max="6358" width="5.7109375" style="228" customWidth="1"/>
    <col min="6359" max="6359" width="3.28515625" style="228" bestFit="1" customWidth="1"/>
    <col min="6360" max="6360" width="8.7109375" style="228" customWidth="1"/>
    <col min="6361" max="6361" width="4.7109375" style="228" customWidth="1"/>
    <col min="6362" max="6362" width="10.7109375" style="228" customWidth="1"/>
    <col min="6363" max="6363" width="5.7109375" style="228" customWidth="1"/>
    <col min="6364" max="6364" width="3.28515625" style="228" customWidth="1"/>
    <col min="6365" max="6365" width="8.42578125" style="228" bestFit="1" customWidth="1"/>
    <col min="6366" max="6366" width="8.85546875" style="228" customWidth="1"/>
    <col min="6367" max="6377" width="10.7109375" style="228" customWidth="1"/>
    <col min="6378" max="6378" width="13.28515625" style="228" customWidth="1"/>
    <col min="6379" max="6379" width="9.28515625" style="228" bestFit="1" customWidth="1"/>
    <col min="6380" max="6380" width="15.7109375" style="228" customWidth="1"/>
    <col min="6381" max="6381" width="7" style="228" customWidth="1"/>
    <col min="6382" max="6383" width="13" style="228" customWidth="1"/>
    <col min="6384" max="6390" width="18.7109375" style="228" customWidth="1"/>
    <col min="6391" max="6391" width="21.7109375" style="228" bestFit="1" customWidth="1"/>
    <col min="6392" max="6393" width="8.7109375" style="228" customWidth="1"/>
    <col min="6394" max="6394" width="18.42578125" style="228" customWidth="1"/>
    <col min="6395" max="6400" width="15" style="228" customWidth="1"/>
    <col min="6401" max="6401" width="21.7109375" style="228" bestFit="1" customWidth="1"/>
    <col min="6402" max="6402" width="7.28515625" style="228" customWidth="1"/>
    <col min="6403" max="6403" width="14.85546875" style="228" customWidth="1"/>
    <col min="6404" max="6404" width="15.140625" style="228" bestFit="1" customWidth="1"/>
    <col min="6405" max="6405" width="25.42578125" style="228" customWidth="1"/>
    <col min="6406" max="6406" width="5.85546875" style="228" bestFit="1" customWidth="1"/>
    <col min="6407" max="6407" width="6.7109375" style="228" bestFit="1" customWidth="1"/>
    <col min="6408" max="6412" width="8.42578125" style="228" bestFit="1" customWidth="1"/>
    <col min="6413" max="6415" width="14" style="228" customWidth="1"/>
    <col min="6416" max="6609" width="9.140625" style="228"/>
    <col min="6610" max="6611" width="8.7109375" style="228" customWidth="1"/>
    <col min="6612" max="6612" width="4.7109375" style="228" customWidth="1"/>
    <col min="6613" max="6613" width="10.7109375" style="228" customWidth="1"/>
    <col min="6614" max="6614" width="5.7109375" style="228" customWidth="1"/>
    <col min="6615" max="6615" width="3.28515625" style="228" bestFit="1" customWidth="1"/>
    <col min="6616" max="6616" width="8.7109375" style="228" customWidth="1"/>
    <col min="6617" max="6617" width="4.7109375" style="228" customWidth="1"/>
    <col min="6618" max="6618" width="10.7109375" style="228" customWidth="1"/>
    <col min="6619" max="6619" width="5.7109375" style="228" customWidth="1"/>
    <col min="6620" max="6620" width="3.28515625" style="228" customWidth="1"/>
    <col min="6621" max="6621" width="8.42578125" style="228" bestFit="1" customWidth="1"/>
    <col min="6622" max="6622" width="8.85546875" style="228" customWidth="1"/>
    <col min="6623" max="6633" width="10.7109375" style="228" customWidth="1"/>
    <col min="6634" max="6634" width="13.28515625" style="228" customWidth="1"/>
    <col min="6635" max="6635" width="9.28515625" style="228" bestFit="1" customWidth="1"/>
    <col min="6636" max="6636" width="15.7109375" style="228" customWidth="1"/>
    <col min="6637" max="6637" width="7" style="228" customWidth="1"/>
    <col min="6638" max="6639" width="13" style="228" customWidth="1"/>
    <col min="6640" max="6646" width="18.7109375" style="228" customWidth="1"/>
    <col min="6647" max="6647" width="21.7109375" style="228" bestFit="1" customWidth="1"/>
    <col min="6648" max="6649" width="8.7109375" style="228" customWidth="1"/>
    <col min="6650" max="6650" width="18.42578125" style="228" customWidth="1"/>
    <col min="6651" max="6656" width="15" style="228" customWidth="1"/>
    <col min="6657" max="6657" width="21.7109375" style="228" bestFit="1" customWidth="1"/>
    <col min="6658" max="6658" width="7.28515625" style="228" customWidth="1"/>
    <col min="6659" max="6659" width="14.85546875" style="228" customWidth="1"/>
    <col min="6660" max="6660" width="15.140625" style="228" bestFit="1" customWidth="1"/>
    <col min="6661" max="6661" width="25.42578125" style="228" customWidth="1"/>
    <col min="6662" max="6662" width="5.85546875" style="228" bestFit="1" customWidth="1"/>
    <col min="6663" max="6663" width="6.7109375" style="228" bestFit="1" customWidth="1"/>
    <col min="6664" max="6668" width="8.42578125" style="228" bestFit="1" customWidth="1"/>
    <col min="6669" max="6671" width="14" style="228" customWidth="1"/>
    <col min="6672" max="6865" width="9.140625" style="228"/>
    <col min="6866" max="6867" width="8.7109375" style="228" customWidth="1"/>
    <col min="6868" max="6868" width="4.7109375" style="228" customWidth="1"/>
    <col min="6869" max="6869" width="10.7109375" style="228" customWidth="1"/>
    <col min="6870" max="6870" width="5.7109375" style="228" customWidth="1"/>
    <col min="6871" max="6871" width="3.28515625" style="228" bestFit="1" customWidth="1"/>
    <col min="6872" max="6872" width="8.7109375" style="228" customWidth="1"/>
    <col min="6873" max="6873" width="4.7109375" style="228" customWidth="1"/>
    <col min="6874" max="6874" width="10.7109375" style="228" customWidth="1"/>
    <col min="6875" max="6875" width="5.7109375" style="228" customWidth="1"/>
    <col min="6876" max="6876" width="3.28515625" style="228" customWidth="1"/>
    <col min="6877" max="6877" width="8.42578125" style="228" bestFit="1" customWidth="1"/>
    <col min="6878" max="6878" width="8.85546875" style="228" customWidth="1"/>
    <col min="6879" max="6889" width="10.7109375" style="228" customWidth="1"/>
    <col min="6890" max="6890" width="13.28515625" style="228" customWidth="1"/>
    <col min="6891" max="6891" width="9.28515625" style="228" bestFit="1" customWidth="1"/>
    <col min="6892" max="6892" width="15.7109375" style="228" customWidth="1"/>
    <col min="6893" max="6893" width="7" style="228" customWidth="1"/>
    <col min="6894" max="6895" width="13" style="228" customWidth="1"/>
    <col min="6896" max="6902" width="18.7109375" style="228" customWidth="1"/>
    <col min="6903" max="6903" width="21.7109375" style="228" bestFit="1" customWidth="1"/>
    <col min="6904" max="6905" width="8.7109375" style="228" customWidth="1"/>
    <col min="6906" max="6906" width="18.42578125" style="228" customWidth="1"/>
    <col min="6907" max="6912" width="15" style="228" customWidth="1"/>
    <col min="6913" max="6913" width="21.7109375" style="228" bestFit="1" customWidth="1"/>
    <col min="6914" max="6914" width="7.28515625" style="228" customWidth="1"/>
    <col min="6915" max="6915" width="14.85546875" style="228" customWidth="1"/>
    <col min="6916" max="6916" width="15.140625" style="228" bestFit="1" customWidth="1"/>
    <col min="6917" max="6917" width="25.42578125" style="228" customWidth="1"/>
    <col min="6918" max="6918" width="5.85546875" style="228" bestFit="1" customWidth="1"/>
    <col min="6919" max="6919" width="6.7109375" style="228" bestFit="1" customWidth="1"/>
    <col min="6920" max="6924" width="8.42578125" style="228" bestFit="1" customWidth="1"/>
    <col min="6925" max="6927" width="14" style="228" customWidth="1"/>
    <col min="6928" max="7121" width="9.140625" style="228"/>
    <col min="7122" max="7123" width="8.7109375" style="228" customWidth="1"/>
    <col min="7124" max="7124" width="4.7109375" style="228" customWidth="1"/>
    <col min="7125" max="7125" width="10.7109375" style="228" customWidth="1"/>
    <col min="7126" max="7126" width="5.7109375" style="228" customWidth="1"/>
    <col min="7127" max="7127" width="3.28515625" style="228" bestFit="1" customWidth="1"/>
    <col min="7128" max="7128" width="8.7109375" style="228" customWidth="1"/>
    <col min="7129" max="7129" width="4.7109375" style="228" customWidth="1"/>
    <col min="7130" max="7130" width="10.7109375" style="228" customWidth="1"/>
    <col min="7131" max="7131" width="5.7109375" style="228" customWidth="1"/>
    <col min="7132" max="7132" width="3.28515625" style="228" customWidth="1"/>
    <col min="7133" max="7133" width="8.42578125" style="228" bestFit="1" customWidth="1"/>
    <col min="7134" max="7134" width="8.85546875" style="228" customWidth="1"/>
    <col min="7135" max="7145" width="10.7109375" style="228" customWidth="1"/>
    <col min="7146" max="7146" width="13.28515625" style="228" customWidth="1"/>
    <col min="7147" max="7147" width="9.28515625" style="228" bestFit="1" customWidth="1"/>
    <col min="7148" max="7148" width="15.7109375" style="228" customWidth="1"/>
    <col min="7149" max="7149" width="7" style="228" customWidth="1"/>
    <col min="7150" max="7151" width="13" style="228" customWidth="1"/>
    <col min="7152" max="7158" width="18.7109375" style="228" customWidth="1"/>
    <col min="7159" max="7159" width="21.7109375" style="228" bestFit="1" customWidth="1"/>
    <col min="7160" max="7161" width="8.7109375" style="228" customWidth="1"/>
    <col min="7162" max="7162" width="18.42578125" style="228" customWidth="1"/>
    <col min="7163" max="7168" width="15" style="228" customWidth="1"/>
    <col min="7169" max="7169" width="21.7109375" style="228" bestFit="1" customWidth="1"/>
    <col min="7170" max="7170" width="7.28515625" style="228" customWidth="1"/>
    <col min="7171" max="7171" width="14.85546875" style="228" customWidth="1"/>
    <col min="7172" max="7172" width="15.140625" style="228" bestFit="1" customWidth="1"/>
    <col min="7173" max="7173" width="25.42578125" style="228" customWidth="1"/>
    <col min="7174" max="7174" width="5.85546875" style="228" bestFit="1" customWidth="1"/>
    <col min="7175" max="7175" width="6.7109375" style="228" bestFit="1" customWidth="1"/>
    <col min="7176" max="7180" width="8.42578125" style="228" bestFit="1" customWidth="1"/>
    <col min="7181" max="7183" width="14" style="228" customWidth="1"/>
    <col min="7184" max="7377" width="9.140625" style="228"/>
    <col min="7378" max="7379" width="8.7109375" style="228" customWidth="1"/>
    <col min="7380" max="7380" width="4.7109375" style="228" customWidth="1"/>
    <col min="7381" max="7381" width="10.7109375" style="228" customWidth="1"/>
    <col min="7382" max="7382" width="5.7109375" style="228" customWidth="1"/>
    <col min="7383" max="7383" width="3.28515625" style="228" bestFit="1" customWidth="1"/>
    <col min="7384" max="7384" width="8.7109375" style="228" customWidth="1"/>
    <col min="7385" max="7385" width="4.7109375" style="228" customWidth="1"/>
    <col min="7386" max="7386" width="10.7109375" style="228" customWidth="1"/>
    <col min="7387" max="7387" width="5.7109375" style="228" customWidth="1"/>
    <col min="7388" max="7388" width="3.28515625" style="228" customWidth="1"/>
    <col min="7389" max="7389" width="8.42578125" style="228" bestFit="1" customWidth="1"/>
    <col min="7390" max="7390" width="8.85546875" style="228" customWidth="1"/>
    <col min="7391" max="7401" width="10.7109375" style="228" customWidth="1"/>
    <col min="7402" max="7402" width="13.28515625" style="228" customWidth="1"/>
    <col min="7403" max="7403" width="9.28515625" style="228" bestFit="1" customWidth="1"/>
    <col min="7404" max="7404" width="15.7109375" style="228" customWidth="1"/>
    <col min="7405" max="7405" width="7" style="228" customWidth="1"/>
    <col min="7406" max="7407" width="13" style="228" customWidth="1"/>
    <col min="7408" max="7414" width="18.7109375" style="228" customWidth="1"/>
    <col min="7415" max="7415" width="21.7109375" style="228" bestFit="1" customWidth="1"/>
    <col min="7416" max="7417" width="8.7109375" style="228" customWidth="1"/>
    <col min="7418" max="7418" width="18.42578125" style="228" customWidth="1"/>
    <col min="7419" max="7424" width="15" style="228" customWidth="1"/>
    <col min="7425" max="7425" width="21.7109375" style="228" bestFit="1" customWidth="1"/>
    <col min="7426" max="7426" width="7.28515625" style="228" customWidth="1"/>
    <col min="7427" max="7427" width="14.85546875" style="228" customWidth="1"/>
    <col min="7428" max="7428" width="15.140625" style="228" bestFit="1" customWidth="1"/>
    <col min="7429" max="7429" width="25.42578125" style="228" customWidth="1"/>
    <col min="7430" max="7430" width="5.85546875" style="228" bestFit="1" customWidth="1"/>
    <col min="7431" max="7431" width="6.7109375" style="228" bestFit="1" customWidth="1"/>
    <col min="7432" max="7436" width="8.42578125" style="228" bestFit="1" customWidth="1"/>
    <col min="7437" max="7439" width="14" style="228" customWidth="1"/>
    <col min="7440" max="7633" width="9.140625" style="228"/>
    <col min="7634" max="7635" width="8.7109375" style="228" customWidth="1"/>
    <col min="7636" max="7636" width="4.7109375" style="228" customWidth="1"/>
    <col min="7637" max="7637" width="10.7109375" style="228" customWidth="1"/>
    <col min="7638" max="7638" width="5.7109375" style="228" customWidth="1"/>
    <col min="7639" max="7639" width="3.28515625" style="228" bestFit="1" customWidth="1"/>
    <col min="7640" max="7640" width="8.7109375" style="228" customWidth="1"/>
    <col min="7641" max="7641" width="4.7109375" style="228" customWidth="1"/>
    <col min="7642" max="7642" width="10.7109375" style="228" customWidth="1"/>
    <col min="7643" max="7643" width="5.7109375" style="228" customWidth="1"/>
    <col min="7644" max="7644" width="3.28515625" style="228" customWidth="1"/>
    <col min="7645" max="7645" width="8.42578125" style="228" bestFit="1" customWidth="1"/>
    <col min="7646" max="7646" width="8.85546875" style="228" customWidth="1"/>
    <col min="7647" max="7657" width="10.7109375" style="228" customWidth="1"/>
    <col min="7658" max="7658" width="13.28515625" style="228" customWidth="1"/>
    <col min="7659" max="7659" width="9.28515625" style="228" bestFit="1" customWidth="1"/>
    <col min="7660" max="7660" width="15.7109375" style="228" customWidth="1"/>
    <col min="7661" max="7661" width="7" style="228" customWidth="1"/>
    <col min="7662" max="7663" width="13" style="228" customWidth="1"/>
    <col min="7664" max="7670" width="18.7109375" style="228" customWidth="1"/>
    <col min="7671" max="7671" width="21.7109375" style="228" bestFit="1" customWidth="1"/>
    <col min="7672" max="7673" width="8.7109375" style="228" customWidth="1"/>
    <col min="7674" max="7674" width="18.42578125" style="228" customWidth="1"/>
    <col min="7675" max="7680" width="15" style="228" customWidth="1"/>
    <col min="7681" max="7681" width="21.7109375" style="228" bestFit="1" customWidth="1"/>
    <col min="7682" max="7682" width="7.28515625" style="228" customWidth="1"/>
    <col min="7683" max="7683" width="14.85546875" style="228" customWidth="1"/>
    <col min="7684" max="7684" width="15.140625" style="228" bestFit="1" customWidth="1"/>
    <col min="7685" max="7685" width="25.42578125" style="228" customWidth="1"/>
    <col min="7686" max="7686" width="5.85546875" style="228" bestFit="1" customWidth="1"/>
    <col min="7687" max="7687" width="6.7109375" style="228" bestFit="1" customWidth="1"/>
    <col min="7688" max="7692" width="8.42578125" style="228" bestFit="1" customWidth="1"/>
    <col min="7693" max="7695" width="14" style="228" customWidth="1"/>
    <col min="7696" max="7889" width="9.140625" style="228"/>
    <col min="7890" max="7891" width="8.7109375" style="228" customWidth="1"/>
    <col min="7892" max="7892" width="4.7109375" style="228" customWidth="1"/>
    <col min="7893" max="7893" width="10.7109375" style="228" customWidth="1"/>
    <col min="7894" max="7894" width="5.7109375" style="228" customWidth="1"/>
    <col min="7895" max="7895" width="3.28515625" style="228" bestFit="1" customWidth="1"/>
    <col min="7896" max="7896" width="8.7109375" style="228" customWidth="1"/>
    <col min="7897" max="7897" width="4.7109375" style="228" customWidth="1"/>
    <col min="7898" max="7898" width="10.7109375" style="228" customWidth="1"/>
    <col min="7899" max="7899" width="5.7109375" style="228" customWidth="1"/>
    <col min="7900" max="7900" width="3.28515625" style="228" customWidth="1"/>
    <col min="7901" max="7901" width="8.42578125" style="228" bestFit="1" customWidth="1"/>
    <col min="7902" max="7902" width="8.85546875" style="228" customWidth="1"/>
    <col min="7903" max="7913" width="10.7109375" style="228" customWidth="1"/>
    <col min="7914" max="7914" width="13.28515625" style="228" customWidth="1"/>
    <col min="7915" max="7915" width="9.28515625" style="228" bestFit="1" customWidth="1"/>
    <col min="7916" max="7916" width="15.7109375" style="228" customWidth="1"/>
    <col min="7917" max="7917" width="7" style="228" customWidth="1"/>
    <col min="7918" max="7919" width="13" style="228" customWidth="1"/>
    <col min="7920" max="7926" width="18.7109375" style="228" customWidth="1"/>
    <col min="7927" max="7927" width="21.7109375" style="228" bestFit="1" customWidth="1"/>
    <col min="7928" max="7929" width="8.7109375" style="228" customWidth="1"/>
    <col min="7930" max="7930" width="18.42578125" style="228" customWidth="1"/>
    <col min="7931" max="7936" width="15" style="228" customWidth="1"/>
    <col min="7937" max="7937" width="21.7109375" style="228" bestFit="1" customWidth="1"/>
    <col min="7938" max="7938" width="7.28515625" style="228" customWidth="1"/>
    <col min="7939" max="7939" width="14.85546875" style="228" customWidth="1"/>
    <col min="7940" max="7940" width="15.140625" style="228" bestFit="1" customWidth="1"/>
    <col min="7941" max="7941" width="25.42578125" style="228" customWidth="1"/>
    <col min="7942" max="7942" width="5.85546875" style="228" bestFit="1" customWidth="1"/>
    <col min="7943" max="7943" width="6.7109375" style="228" bestFit="1" customWidth="1"/>
    <col min="7944" max="7948" width="8.42578125" style="228" bestFit="1" customWidth="1"/>
    <col min="7949" max="7951" width="14" style="228" customWidth="1"/>
    <col min="7952" max="8145" width="9.140625" style="228"/>
    <col min="8146" max="8147" width="8.7109375" style="228" customWidth="1"/>
    <col min="8148" max="8148" width="4.7109375" style="228" customWidth="1"/>
    <col min="8149" max="8149" width="10.7109375" style="228" customWidth="1"/>
    <col min="8150" max="8150" width="5.7109375" style="228" customWidth="1"/>
    <col min="8151" max="8151" width="3.28515625" style="228" bestFit="1" customWidth="1"/>
    <col min="8152" max="8152" width="8.7109375" style="228" customWidth="1"/>
    <col min="8153" max="8153" width="4.7109375" style="228" customWidth="1"/>
    <col min="8154" max="8154" width="10.7109375" style="228" customWidth="1"/>
    <col min="8155" max="8155" width="5.7109375" style="228" customWidth="1"/>
    <col min="8156" max="8156" width="3.28515625" style="228" customWidth="1"/>
    <col min="8157" max="8157" width="8.42578125" style="228" bestFit="1" customWidth="1"/>
    <col min="8158" max="8158" width="8.85546875" style="228" customWidth="1"/>
    <col min="8159" max="8169" width="10.7109375" style="228" customWidth="1"/>
    <col min="8170" max="8170" width="13.28515625" style="228" customWidth="1"/>
    <col min="8171" max="8171" width="9.28515625" style="228" bestFit="1" customWidth="1"/>
    <col min="8172" max="8172" width="15.7109375" style="228" customWidth="1"/>
    <col min="8173" max="8173" width="7" style="228" customWidth="1"/>
    <col min="8174" max="8175" width="13" style="228" customWidth="1"/>
    <col min="8176" max="8182" width="18.7109375" style="228" customWidth="1"/>
    <col min="8183" max="8183" width="21.7109375" style="228" bestFit="1" customWidth="1"/>
    <col min="8184" max="8185" width="8.7109375" style="228" customWidth="1"/>
    <col min="8186" max="8186" width="18.42578125" style="228" customWidth="1"/>
    <col min="8187" max="8192" width="15" style="228" customWidth="1"/>
    <col min="8193" max="8193" width="21.7109375" style="228" bestFit="1" customWidth="1"/>
    <col min="8194" max="8194" width="7.28515625" style="228" customWidth="1"/>
    <col min="8195" max="8195" width="14.85546875" style="228" customWidth="1"/>
    <col min="8196" max="8196" width="15.140625" style="228" bestFit="1" customWidth="1"/>
    <col min="8197" max="8197" width="25.42578125" style="228" customWidth="1"/>
    <col min="8198" max="8198" width="5.85546875" style="228" bestFit="1" customWidth="1"/>
    <col min="8199" max="8199" width="6.7109375" style="228" bestFit="1" customWidth="1"/>
    <col min="8200" max="8204" width="8.42578125" style="228" bestFit="1" customWidth="1"/>
    <col min="8205" max="8207" width="14" style="228" customWidth="1"/>
    <col min="8208" max="8401" width="9.140625" style="228"/>
    <col min="8402" max="8403" width="8.7109375" style="228" customWidth="1"/>
    <col min="8404" max="8404" width="4.7109375" style="228" customWidth="1"/>
    <col min="8405" max="8405" width="10.7109375" style="228" customWidth="1"/>
    <col min="8406" max="8406" width="5.7109375" style="228" customWidth="1"/>
    <col min="8407" max="8407" width="3.28515625" style="228" bestFit="1" customWidth="1"/>
    <col min="8408" max="8408" width="8.7109375" style="228" customWidth="1"/>
    <col min="8409" max="8409" width="4.7109375" style="228" customWidth="1"/>
    <col min="8410" max="8410" width="10.7109375" style="228" customWidth="1"/>
    <col min="8411" max="8411" width="5.7109375" style="228" customWidth="1"/>
    <col min="8412" max="8412" width="3.28515625" style="228" customWidth="1"/>
    <col min="8413" max="8413" width="8.42578125" style="228" bestFit="1" customWidth="1"/>
    <col min="8414" max="8414" width="8.85546875" style="228" customWidth="1"/>
    <col min="8415" max="8425" width="10.7109375" style="228" customWidth="1"/>
    <col min="8426" max="8426" width="13.28515625" style="228" customWidth="1"/>
    <col min="8427" max="8427" width="9.28515625" style="228" bestFit="1" customWidth="1"/>
    <col min="8428" max="8428" width="15.7109375" style="228" customWidth="1"/>
    <col min="8429" max="8429" width="7" style="228" customWidth="1"/>
    <col min="8430" max="8431" width="13" style="228" customWidth="1"/>
    <col min="8432" max="8438" width="18.7109375" style="228" customWidth="1"/>
    <col min="8439" max="8439" width="21.7109375" style="228" bestFit="1" customWidth="1"/>
    <col min="8440" max="8441" width="8.7109375" style="228" customWidth="1"/>
    <col min="8442" max="8442" width="18.42578125" style="228" customWidth="1"/>
    <col min="8443" max="8448" width="15" style="228" customWidth="1"/>
    <col min="8449" max="8449" width="21.7109375" style="228" bestFit="1" customWidth="1"/>
    <col min="8450" max="8450" width="7.28515625" style="228" customWidth="1"/>
    <col min="8451" max="8451" width="14.85546875" style="228" customWidth="1"/>
    <col min="8452" max="8452" width="15.140625" style="228" bestFit="1" customWidth="1"/>
    <col min="8453" max="8453" width="25.42578125" style="228" customWidth="1"/>
    <col min="8454" max="8454" width="5.85546875" style="228" bestFit="1" customWidth="1"/>
    <col min="8455" max="8455" width="6.7109375" style="228" bestFit="1" customWidth="1"/>
    <col min="8456" max="8460" width="8.42578125" style="228" bestFit="1" customWidth="1"/>
    <col min="8461" max="8463" width="14" style="228" customWidth="1"/>
    <col min="8464" max="8657" width="9.140625" style="228"/>
    <col min="8658" max="8659" width="8.7109375" style="228" customWidth="1"/>
    <col min="8660" max="8660" width="4.7109375" style="228" customWidth="1"/>
    <col min="8661" max="8661" width="10.7109375" style="228" customWidth="1"/>
    <col min="8662" max="8662" width="5.7109375" style="228" customWidth="1"/>
    <col min="8663" max="8663" width="3.28515625" style="228" bestFit="1" customWidth="1"/>
    <col min="8664" max="8664" width="8.7109375" style="228" customWidth="1"/>
    <col min="8665" max="8665" width="4.7109375" style="228" customWidth="1"/>
    <col min="8666" max="8666" width="10.7109375" style="228" customWidth="1"/>
    <col min="8667" max="8667" width="5.7109375" style="228" customWidth="1"/>
    <col min="8668" max="8668" width="3.28515625" style="228" customWidth="1"/>
    <col min="8669" max="8669" width="8.42578125" style="228" bestFit="1" customWidth="1"/>
    <col min="8670" max="8670" width="8.85546875" style="228" customWidth="1"/>
    <col min="8671" max="8681" width="10.7109375" style="228" customWidth="1"/>
    <col min="8682" max="8682" width="13.28515625" style="228" customWidth="1"/>
    <col min="8683" max="8683" width="9.28515625" style="228" bestFit="1" customWidth="1"/>
    <col min="8684" max="8684" width="15.7109375" style="228" customWidth="1"/>
    <col min="8685" max="8685" width="7" style="228" customWidth="1"/>
    <col min="8686" max="8687" width="13" style="228" customWidth="1"/>
    <col min="8688" max="8694" width="18.7109375" style="228" customWidth="1"/>
    <col min="8695" max="8695" width="21.7109375" style="228" bestFit="1" customWidth="1"/>
    <col min="8696" max="8697" width="8.7109375" style="228" customWidth="1"/>
    <col min="8698" max="8698" width="18.42578125" style="228" customWidth="1"/>
    <col min="8699" max="8704" width="15" style="228" customWidth="1"/>
    <col min="8705" max="8705" width="21.7109375" style="228" bestFit="1" customWidth="1"/>
    <col min="8706" max="8706" width="7.28515625" style="228" customWidth="1"/>
    <col min="8707" max="8707" width="14.85546875" style="228" customWidth="1"/>
    <col min="8708" max="8708" width="15.140625" style="228" bestFit="1" customWidth="1"/>
    <col min="8709" max="8709" width="25.42578125" style="228" customWidth="1"/>
    <col min="8710" max="8710" width="5.85546875" style="228" bestFit="1" customWidth="1"/>
    <col min="8711" max="8711" width="6.7109375" style="228" bestFit="1" customWidth="1"/>
    <col min="8712" max="8716" width="8.42578125" style="228" bestFit="1" customWidth="1"/>
    <col min="8717" max="8719" width="14" style="228" customWidth="1"/>
    <col min="8720" max="8913" width="9.140625" style="228"/>
    <col min="8914" max="8915" width="8.7109375" style="228" customWidth="1"/>
    <col min="8916" max="8916" width="4.7109375" style="228" customWidth="1"/>
    <col min="8917" max="8917" width="10.7109375" style="228" customWidth="1"/>
    <col min="8918" max="8918" width="5.7109375" style="228" customWidth="1"/>
    <col min="8919" max="8919" width="3.28515625" style="228" bestFit="1" customWidth="1"/>
    <col min="8920" max="8920" width="8.7109375" style="228" customWidth="1"/>
    <col min="8921" max="8921" width="4.7109375" style="228" customWidth="1"/>
    <col min="8922" max="8922" width="10.7109375" style="228" customWidth="1"/>
    <col min="8923" max="8923" width="5.7109375" style="228" customWidth="1"/>
    <col min="8924" max="8924" width="3.28515625" style="228" customWidth="1"/>
    <col min="8925" max="8925" width="8.42578125" style="228" bestFit="1" customWidth="1"/>
    <col min="8926" max="8926" width="8.85546875" style="228" customWidth="1"/>
    <col min="8927" max="8937" width="10.7109375" style="228" customWidth="1"/>
    <col min="8938" max="8938" width="13.28515625" style="228" customWidth="1"/>
    <col min="8939" max="8939" width="9.28515625" style="228" bestFit="1" customWidth="1"/>
    <col min="8940" max="8940" width="15.7109375" style="228" customWidth="1"/>
    <col min="8941" max="8941" width="7" style="228" customWidth="1"/>
    <col min="8942" max="8943" width="13" style="228" customWidth="1"/>
    <col min="8944" max="8950" width="18.7109375" style="228" customWidth="1"/>
    <col min="8951" max="8951" width="21.7109375" style="228" bestFit="1" customWidth="1"/>
    <col min="8952" max="8953" width="8.7109375" style="228" customWidth="1"/>
    <col min="8954" max="8954" width="18.42578125" style="228" customWidth="1"/>
    <col min="8955" max="8960" width="15" style="228" customWidth="1"/>
    <col min="8961" max="8961" width="21.7109375" style="228" bestFit="1" customWidth="1"/>
    <col min="8962" max="8962" width="7.28515625" style="228" customWidth="1"/>
    <col min="8963" max="8963" width="14.85546875" style="228" customWidth="1"/>
    <col min="8964" max="8964" width="15.140625" style="228" bestFit="1" customWidth="1"/>
    <col min="8965" max="8965" width="25.42578125" style="228" customWidth="1"/>
    <col min="8966" max="8966" width="5.85546875" style="228" bestFit="1" customWidth="1"/>
    <col min="8967" max="8967" width="6.7109375" style="228" bestFit="1" customWidth="1"/>
    <col min="8968" max="8972" width="8.42578125" style="228" bestFit="1" customWidth="1"/>
    <col min="8973" max="8975" width="14" style="228" customWidth="1"/>
    <col min="8976" max="9169" width="9.140625" style="228"/>
    <col min="9170" max="9171" width="8.7109375" style="228" customWidth="1"/>
    <col min="9172" max="9172" width="4.7109375" style="228" customWidth="1"/>
    <col min="9173" max="9173" width="10.7109375" style="228" customWidth="1"/>
    <col min="9174" max="9174" width="5.7109375" style="228" customWidth="1"/>
    <col min="9175" max="9175" width="3.28515625" style="228" bestFit="1" customWidth="1"/>
    <col min="9176" max="9176" width="8.7109375" style="228" customWidth="1"/>
    <col min="9177" max="9177" width="4.7109375" style="228" customWidth="1"/>
    <col min="9178" max="9178" width="10.7109375" style="228" customWidth="1"/>
    <col min="9179" max="9179" width="5.7109375" style="228" customWidth="1"/>
    <col min="9180" max="9180" width="3.28515625" style="228" customWidth="1"/>
    <col min="9181" max="9181" width="8.42578125" style="228" bestFit="1" customWidth="1"/>
    <col min="9182" max="9182" width="8.85546875" style="228" customWidth="1"/>
    <col min="9183" max="9193" width="10.7109375" style="228" customWidth="1"/>
    <col min="9194" max="9194" width="13.28515625" style="228" customWidth="1"/>
    <col min="9195" max="9195" width="9.28515625" style="228" bestFit="1" customWidth="1"/>
    <col min="9196" max="9196" width="15.7109375" style="228" customWidth="1"/>
    <col min="9197" max="9197" width="7" style="228" customWidth="1"/>
    <col min="9198" max="9199" width="13" style="228" customWidth="1"/>
    <col min="9200" max="9206" width="18.7109375" style="228" customWidth="1"/>
    <col min="9207" max="9207" width="21.7109375" style="228" bestFit="1" customWidth="1"/>
    <col min="9208" max="9209" width="8.7109375" style="228" customWidth="1"/>
    <col min="9210" max="9210" width="18.42578125" style="228" customWidth="1"/>
    <col min="9211" max="9216" width="15" style="228" customWidth="1"/>
    <col min="9217" max="9217" width="21.7109375" style="228" bestFit="1" customWidth="1"/>
    <col min="9218" max="9218" width="7.28515625" style="228" customWidth="1"/>
    <col min="9219" max="9219" width="14.85546875" style="228" customWidth="1"/>
    <col min="9220" max="9220" width="15.140625" style="228" bestFit="1" customWidth="1"/>
    <col min="9221" max="9221" width="25.42578125" style="228" customWidth="1"/>
    <col min="9222" max="9222" width="5.85546875" style="228" bestFit="1" customWidth="1"/>
    <col min="9223" max="9223" width="6.7109375" style="228" bestFit="1" customWidth="1"/>
    <col min="9224" max="9228" width="8.42578125" style="228" bestFit="1" customWidth="1"/>
    <col min="9229" max="9231" width="14" style="228" customWidth="1"/>
    <col min="9232" max="9425" width="9.140625" style="228"/>
    <col min="9426" max="9427" width="8.7109375" style="228" customWidth="1"/>
    <col min="9428" max="9428" width="4.7109375" style="228" customWidth="1"/>
    <col min="9429" max="9429" width="10.7109375" style="228" customWidth="1"/>
    <col min="9430" max="9430" width="5.7109375" style="228" customWidth="1"/>
    <col min="9431" max="9431" width="3.28515625" style="228" bestFit="1" customWidth="1"/>
    <col min="9432" max="9432" width="8.7109375" style="228" customWidth="1"/>
    <col min="9433" max="9433" width="4.7109375" style="228" customWidth="1"/>
    <col min="9434" max="9434" width="10.7109375" style="228" customWidth="1"/>
    <col min="9435" max="9435" width="5.7109375" style="228" customWidth="1"/>
    <col min="9436" max="9436" width="3.28515625" style="228" customWidth="1"/>
    <col min="9437" max="9437" width="8.42578125" style="228" bestFit="1" customWidth="1"/>
    <col min="9438" max="9438" width="8.85546875" style="228" customWidth="1"/>
    <col min="9439" max="9449" width="10.7109375" style="228" customWidth="1"/>
    <col min="9450" max="9450" width="13.28515625" style="228" customWidth="1"/>
    <col min="9451" max="9451" width="9.28515625" style="228" bestFit="1" customWidth="1"/>
    <col min="9452" max="9452" width="15.7109375" style="228" customWidth="1"/>
    <col min="9453" max="9453" width="7" style="228" customWidth="1"/>
    <col min="9454" max="9455" width="13" style="228" customWidth="1"/>
    <col min="9456" max="9462" width="18.7109375" style="228" customWidth="1"/>
    <col min="9463" max="9463" width="21.7109375" style="228" bestFit="1" customWidth="1"/>
    <col min="9464" max="9465" width="8.7109375" style="228" customWidth="1"/>
    <col min="9466" max="9466" width="18.42578125" style="228" customWidth="1"/>
    <col min="9467" max="9472" width="15" style="228" customWidth="1"/>
    <col min="9473" max="9473" width="21.7109375" style="228" bestFit="1" customWidth="1"/>
    <col min="9474" max="9474" width="7.28515625" style="228" customWidth="1"/>
    <col min="9475" max="9475" width="14.85546875" style="228" customWidth="1"/>
    <col min="9476" max="9476" width="15.140625" style="228" bestFit="1" customWidth="1"/>
    <col min="9477" max="9477" width="25.42578125" style="228" customWidth="1"/>
    <col min="9478" max="9478" width="5.85546875" style="228" bestFit="1" customWidth="1"/>
    <col min="9479" max="9479" width="6.7109375" style="228" bestFit="1" customWidth="1"/>
    <col min="9480" max="9484" width="8.42578125" style="228" bestFit="1" customWidth="1"/>
    <col min="9485" max="9487" width="14" style="228" customWidth="1"/>
    <col min="9488" max="9681" width="9.140625" style="228"/>
    <col min="9682" max="9683" width="8.7109375" style="228" customWidth="1"/>
    <col min="9684" max="9684" width="4.7109375" style="228" customWidth="1"/>
    <col min="9685" max="9685" width="10.7109375" style="228" customWidth="1"/>
    <col min="9686" max="9686" width="5.7109375" style="228" customWidth="1"/>
    <col min="9687" max="9687" width="3.28515625" style="228" bestFit="1" customWidth="1"/>
    <col min="9688" max="9688" width="8.7109375" style="228" customWidth="1"/>
    <col min="9689" max="9689" width="4.7109375" style="228" customWidth="1"/>
    <col min="9690" max="9690" width="10.7109375" style="228" customWidth="1"/>
    <col min="9691" max="9691" width="5.7109375" style="228" customWidth="1"/>
    <col min="9692" max="9692" width="3.28515625" style="228" customWidth="1"/>
    <col min="9693" max="9693" width="8.42578125" style="228" bestFit="1" customWidth="1"/>
    <col min="9694" max="9694" width="8.85546875" style="228" customWidth="1"/>
    <col min="9695" max="9705" width="10.7109375" style="228" customWidth="1"/>
    <col min="9706" max="9706" width="13.28515625" style="228" customWidth="1"/>
    <col min="9707" max="9707" width="9.28515625" style="228" bestFit="1" customWidth="1"/>
    <col min="9708" max="9708" width="15.7109375" style="228" customWidth="1"/>
    <col min="9709" max="9709" width="7" style="228" customWidth="1"/>
    <col min="9710" max="9711" width="13" style="228" customWidth="1"/>
    <col min="9712" max="9718" width="18.7109375" style="228" customWidth="1"/>
    <col min="9719" max="9719" width="21.7109375" style="228" bestFit="1" customWidth="1"/>
    <col min="9720" max="9721" width="8.7109375" style="228" customWidth="1"/>
    <col min="9722" max="9722" width="18.42578125" style="228" customWidth="1"/>
    <col min="9723" max="9728" width="15" style="228" customWidth="1"/>
    <col min="9729" max="9729" width="21.7109375" style="228" bestFit="1" customWidth="1"/>
    <col min="9730" max="9730" width="7.28515625" style="228" customWidth="1"/>
    <col min="9731" max="9731" width="14.85546875" style="228" customWidth="1"/>
    <col min="9732" max="9732" width="15.140625" style="228" bestFit="1" customWidth="1"/>
    <col min="9733" max="9733" width="25.42578125" style="228" customWidth="1"/>
    <col min="9734" max="9734" width="5.85546875" style="228" bestFit="1" customWidth="1"/>
    <col min="9735" max="9735" width="6.7109375" style="228" bestFit="1" customWidth="1"/>
    <col min="9736" max="9740" width="8.42578125" style="228" bestFit="1" customWidth="1"/>
    <col min="9741" max="9743" width="14" style="228" customWidth="1"/>
    <col min="9744" max="9937" width="9.140625" style="228"/>
    <col min="9938" max="9939" width="8.7109375" style="228" customWidth="1"/>
    <col min="9940" max="9940" width="4.7109375" style="228" customWidth="1"/>
    <col min="9941" max="9941" width="10.7109375" style="228" customWidth="1"/>
    <col min="9942" max="9942" width="5.7109375" style="228" customWidth="1"/>
    <col min="9943" max="9943" width="3.28515625" style="228" bestFit="1" customWidth="1"/>
    <col min="9944" max="9944" width="8.7109375" style="228" customWidth="1"/>
    <col min="9945" max="9945" width="4.7109375" style="228" customWidth="1"/>
    <col min="9946" max="9946" width="10.7109375" style="228" customWidth="1"/>
    <col min="9947" max="9947" width="5.7109375" style="228" customWidth="1"/>
    <col min="9948" max="9948" width="3.28515625" style="228" customWidth="1"/>
    <col min="9949" max="9949" width="8.42578125" style="228" bestFit="1" customWidth="1"/>
    <col min="9950" max="9950" width="8.85546875" style="228" customWidth="1"/>
    <col min="9951" max="9961" width="10.7109375" style="228" customWidth="1"/>
    <col min="9962" max="9962" width="13.28515625" style="228" customWidth="1"/>
    <col min="9963" max="9963" width="9.28515625" style="228" bestFit="1" customWidth="1"/>
    <col min="9964" max="9964" width="15.7109375" style="228" customWidth="1"/>
    <col min="9965" max="9965" width="7" style="228" customWidth="1"/>
    <col min="9966" max="9967" width="13" style="228" customWidth="1"/>
    <col min="9968" max="9974" width="18.7109375" style="228" customWidth="1"/>
    <col min="9975" max="9975" width="21.7109375" style="228" bestFit="1" customWidth="1"/>
    <col min="9976" max="9977" width="8.7109375" style="228" customWidth="1"/>
    <col min="9978" max="9978" width="18.42578125" style="228" customWidth="1"/>
    <col min="9979" max="9984" width="15" style="228" customWidth="1"/>
    <col min="9985" max="9985" width="21.7109375" style="228" bestFit="1" customWidth="1"/>
    <col min="9986" max="9986" width="7.28515625" style="228" customWidth="1"/>
    <col min="9987" max="9987" width="14.85546875" style="228" customWidth="1"/>
    <col min="9988" max="9988" width="15.140625" style="228" bestFit="1" customWidth="1"/>
    <col min="9989" max="9989" width="25.42578125" style="228" customWidth="1"/>
    <col min="9990" max="9990" width="5.85546875" style="228" bestFit="1" customWidth="1"/>
    <col min="9991" max="9991" width="6.7109375" style="228" bestFit="1" customWidth="1"/>
    <col min="9992" max="9996" width="8.42578125" style="228" bestFit="1" customWidth="1"/>
    <col min="9997" max="9999" width="14" style="228" customWidth="1"/>
    <col min="10000" max="10193" width="9.140625" style="228"/>
    <col min="10194" max="10195" width="8.7109375" style="228" customWidth="1"/>
    <col min="10196" max="10196" width="4.7109375" style="228" customWidth="1"/>
    <col min="10197" max="10197" width="10.7109375" style="228" customWidth="1"/>
    <col min="10198" max="10198" width="5.7109375" style="228" customWidth="1"/>
    <col min="10199" max="10199" width="3.28515625" style="228" bestFit="1" customWidth="1"/>
    <col min="10200" max="10200" width="8.7109375" style="228" customWidth="1"/>
    <col min="10201" max="10201" width="4.7109375" style="228" customWidth="1"/>
    <col min="10202" max="10202" width="10.7109375" style="228" customWidth="1"/>
    <col min="10203" max="10203" width="5.7109375" style="228" customWidth="1"/>
    <col min="10204" max="10204" width="3.28515625" style="228" customWidth="1"/>
    <col min="10205" max="10205" width="8.42578125" style="228" bestFit="1" customWidth="1"/>
    <col min="10206" max="10206" width="8.85546875" style="228" customWidth="1"/>
    <col min="10207" max="10217" width="10.7109375" style="228" customWidth="1"/>
    <col min="10218" max="10218" width="13.28515625" style="228" customWidth="1"/>
    <col min="10219" max="10219" width="9.28515625" style="228" bestFit="1" customWidth="1"/>
    <col min="10220" max="10220" width="15.7109375" style="228" customWidth="1"/>
    <col min="10221" max="10221" width="7" style="228" customWidth="1"/>
    <col min="10222" max="10223" width="13" style="228" customWidth="1"/>
    <col min="10224" max="10230" width="18.7109375" style="228" customWidth="1"/>
    <col min="10231" max="10231" width="21.7109375" style="228" bestFit="1" customWidth="1"/>
    <col min="10232" max="10233" width="8.7109375" style="228" customWidth="1"/>
    <col min="10234" max="10234" width="18.42578125" style="228" customWidth="1"/>
    <col min="10235" max="10240" width="15" style="228" customWidth="1"/>
    <col min="10241" max="10241" width="21.7109375" style="228" bestFit="1" customWidth="1"/>
    <col min="10242" max="10242" width="7.28515625" style="228" customWidth="1"/>
    <col min="10243" max="10243" width="14.85546875" style="228" customWidth="1"/>
    <col min="10244" max="10244" width="15.140625" style="228" bestFit="1" customWidth="1"/>
    <col min="10245" max="10245" width="25.42578125" style="228" customWidth="1"/>
    <col min="10246" max="10246" width="5.85546875" style="228" bestFit="1" customWidth="1"/>
    <col min="10247" max="10247" width="6.7109375" style="228" bestFit="1" customWidth="1"/>
    <col min="10248" max="10252" width="8.42578125" style="228" bestFit="1" customWidth="1"/>
    <col min="10253" max="10255" width="14" style="228" customWidth="1"/>
    <col min="10256" max="10449" width="9.140625" style="228"/>
    <col min="10450" max="10451" width="8.7109375" style="228" customWidth="1"/>
    <col min="10452" max="10452" width="4.7109375" style="228" customWidth="1"/>
    <col min="10453" max="10453" width="10.7109375" style="228" customWidth="1"/>
    <col min="10454" max="10454" width="5.7109375" style="228" customWidth="1"/>
    <col min="10455" max="10455" width="3.28515625" style="228" bestFit="1" customWidth="1"/>
    <col min="10456" max="10456" width="8.7109375" style="228" customWidth="1"/>
    <col min="10457" max="10457" width="4.7109375" style="228" customWidth="1"/>
    <col min="10458" max="10458" width="10.7109375" style="228" customWidth="1"/>
    <col min="10459" max="10459" width="5.7109375" style="228" customWidth="1"/>
    <col min="10460" max="10460" width="3.28515625" style="228" customWidth="1"/>
    <col min="10461" max="10461" width="8.42578125" style="228" bestFit="1" customWidth="1"/>
    <col min="10462" max="10462" width="8.85546875" style="228" customWidth="1"/>
    <col min="10463" max="10473" width="10.7109375" style="228" customWidth="1"/>
    <col min="10474" max="10474" width="13.28515625" style="228" customWidth="1"/>
    <col min="10475" max="10475" width="9.28515625" style="228" bestFit="1" customWidth="1"/>
    <col min="10476" max="10476" width="15.7109375" style="228" customWidth="1"/>
    <col min="10477" max="10477" width="7" style="228" customWidth="1"/>
    <col min="10478" max="10479" width="13" style="228" customWidth="1"/>
    <col min="10480" max="10486" width="18.7109375" style="228" customWidth="1"/>
    <col min="10487" max="10487" width="21.7109375" style="228" bestFit="1" customWidth="1"/>
    <col min="10488" max="10489" width="8.7109375" style="228" customWidth="1"/>
    <col min="10490" max="10490" width="18.42578125" style="228" customWidth="1"/>
    <col min="10491" max="10496" width="15" style="228" customWidth="1"/>
    <col min="10497" max="10497" width="21.7109375" style="228" bestFit="1" customWidth="1"/>
    <col min="10498" max="10498" width="7.28515625" style="228" customWidth="1"/>
    <col min="10499" max="10499" width="14.85546875" style="228" customWidth="1"/>
    <col min="10500" max="10500" width="15.140625" style="228" bestFit="1" customWidth="1"/>
    <col min="10501" max="10501" width="25.42578125" style="228" customWidth="1"/>
    <col min="10502" max="10502" width="5.85546875" style="228" bestFit="1" customWidth="1"/>
    <col min="10503" max="10503" width="6.7109375" style="228" bestFit="1" customWidth="1"/>
    <col min="10504" max="10508" width="8.42578125" style="228" bestFit="1" customWidth="1"/>
    <col min="10509" max="10511" width="14" style="228" customWidth="1"/>
    <col min="10512" max="10705" width="9.140625" style="228"/>
    <col min="10706" max="10707" width="8.7109375" style="228" customWidth="1"/>
    <col min="10708" max="10708" width="4.7109375" style="228" customWidth="1"/>
    <col min="10709" max="10709" width="10.7109375" style="228" customWidth="1"/>
    <col min="10710" max="10710" width="5.7109375" style="228" customWidth="1"/>
    <col min="10711" max="10711" width="3.28515625" style="228" bestFit="1" customWidth="1"/>
    <col min="10712" max="10712" width="8.7109375" style="228" customWidth="1"/>
    <col min="10713" max="10713" width="4.7109375" style="228" customWidth="1"/>
    <col min="10714" max="10714" width="10.7109375" style="228" customWidth="1"/>
    <col min="10715" max="10715" width="5.7109375" style="228" customWidth="1"/>
    <col min="10716" max="10716" width="3.28515625" style="228" customWidth="1"/>
    <col min="10717" max="10717" width="8.42578125" style="228" bestFit="1" customWidth="1"/>
    <col min="10718" max="10718" width="8.85546875" style="228" customWidth="1"/>
    <col min="10719" max="10729" width="10.7109375" style="228" customWidth="1"/>
    <col min="10730" max="10730" width="13.28515625" style="228" customWidth="1"/>
    <col min="10731" max="10731" width="9.28515625" style="228" bestFit="1" customWidth="1"/>
    <col min="10732" max="10732" width="15.7109375" style="228" customWidth="1"/>
    <col min="10733" max="10733" width="7" style="228" customWidth="1"/>
    <col min="10734" max="10735" width="13" style="228" customWidth="1"/>
    <col min="10736" max="10742" width="18.7109375" style="228" customWidth="1"/>
    <col min="10743" max="10743" width="21.7109375" style="228" bestFit="1" customWidth="1"/>
    <col min="10744" max="10745" width="8.7109375" style="228" customWidth="1"/>
    <col min="10746" max="10746" width="18.42578125" style="228" customWidth="1"/>
    <col min="10747" max="10752" width="15" style="228" customWidth="1"/>
    <col min="10753" max="10753" width="21.7109375" style="228" bestFit="1" customWidth="1"/>
    <col min="10754" max="10754" width="7.28515625" style="228" customWidth="1"/>
    <col min="10755" max="10755" width="14.85546875" style="228" customWidth="1"/>
    <col min="10756" max="10756" width="15.140625" style="228" bestFit="1" customWidth="1"/>
    <col min="10757" max="10757" width="25.42578125" style="228" customWidth="1"/>
    <col min="10758" max="10758" width="5.85546875" style="228" bestFit="1" customWidth="1"/>
    <col min="10759" max="10759" width="6.7109375" style="228" bestFit="1" customWidth="1"/>
    <col min="10760" max="10764" width="8.42578125" style="228" bestFit="1" customWidth="1"/>
    <col min="10765" max="10767" width="14" style="228" customWidth="1"/>
    <col min="10768" max="10961" width="9.140625" style="228"/>
    <col min="10962" max="10963" width="8.7109375" style="228" customWidth="1"/>
    <col min="10964" max="10964" width="4.7109375" style="228" customWidth="1"/>
    <col min="10965" max="10965" width="10.7109375" style="228" customWidth="1"/>
    <col min="10966" max="10966" width="5.7109375" style="228" customWidth="1"/>
    <col min="10967" max="10967" width="3.28515625" style="228" bestFit="1" customWidth="1"/>
    <col min="10968" max="10968" width="8.7109375" style="228" customWidth="1"/>
    <col min="10969" max="10969" width="4.7109375" style="228" customWidth="1"/>
    <col min="10970" max="10970" width="10.7109375" style="228" customWidth="1"/>
    <col min="10971" max="10971" width="5.7109375" style="228" customWidth="1"/>
    <col min="10972" max="10972" width="3.28515625" style="228" customWidth="1"/>
    <col min="10973" max="10973" width="8.42578125" style="228" bestFit="1" customWidth="1"/>
    <col min="10974" max="10974" width="8.85546875" style="228" customWidth="1"/>
    <col min="10975" max="10985" width="10.7109375" style="228" customWidth="1"/>
    <col min="10986" max="10986" width="13.28515625" style="228" customWidth="1"/>
    <col min="10987" max="10987" width="9.28515625" style="228" bestFit="1" customWidth="1"/>
    <col min="10988" max="10988" width="15.7109375" style="228" customWidth="1"/>
    <col min="10989" max="10989" width="7" style="228" customWidth="1"/>
    <col min="10990" max="10991" width="13" style="228" customWidth="1"/>
    <col min="10992" max="10998" width="18.7109375" style="228" customWidth="1"/>
    <col min="10999" max="10999" width="21.7109375" style="228" bestFit="1" customWidth="1"/>
    <col min="11000" max="11001" width="8.7109375" style="228" customWidth="1"/>
    <col min="11002" max="11002" width="18.42578125" style="228" customWidth="1"/>
    <col min="11003" max="11008" width="15" style="228" customWidth="1"/>
    <col min="11009" max="11009" width="21.7109375" style="228" bestFit="1" customWidth="1"/>
    <col min="11010" max="11010" width="7.28515625" style="228" customWidth="1"/>
    <col min="11011" max="11011" width="14.85546875" style="228" customWidth="1"/>
    <col min="11012" max="11012" width="15.140625" style="228" bestFit="1" customWidth="1"/>
    <col min="11013" max="11013" width="25.42578125" style="228" customWidth="1"/>
    <col min="11014" max="11014" width="5.85546875" style="228" bestFit="1" customWidth="1"/>
    <col min="11015" max="11015" width="6.7109375" style="228" bestFit="1" customWidth="1"/>
    <col min="11016" max="11020" width="8.42578125" style="228" bestFit="1" customWidth="1"/>
    <col min="11021" max="11023" width="14" style="228" customWidth="1"/>
    <col min="11024" max="11217" width="9.140625" style="228"/>
    <col min="11218" max="11219" width="8.7109375" style="228" customWidth="1"/>
    <col min="11220" max="11220" width="4.7109375" style="228" customWidth="1"/>
    <col min="11221" max="11221" width="10.7109375" style="228" customWidth="1"/>
    <col min="11222" max="11222" width="5.7109375" style="228" customWidth="1"/>
    <col min="11223" max="11223" width="3.28515625" style="228" bestFit="1" customWidth="1"/>
    <col min="11224" max="11224" width="8.7109375" style="228" customWidth="1"/>
    <col min="11225" max="11225" width="4.7109375" style="228" customWidth="1"/>
    <col min="11226" max="11226" width="10.7109375" style="228" customWidth="1"/>
    <col min="11227" max="11227" width="5.7109375" style="228" customWidth="1"/>
    <col min="11228" max="11228" width="3.28515625" style="228" customWidth="1"/>
    <col min="11229" max="11229" width="8.42578125" style="228" bestFit="1" customWidth="1"/>
    <col min="11230" max="11230" width="8.85546875" style="228" customWidth="1"/>
    <col min="11231" max="11241" width="10.7109375" style="228" customWidth="1"/>
    <col min="11242" max="11242" width="13.28515625" style="228" customWidth="1"/>
    <col min="11243" max="11243" width="9.28515625" style="228" bestFit="1" customWidth="1"/>
    <col min="11244" max="11244" width="15.7109375" style="228" customWidth="1"/>
    <col min="11245" max="11245" width="7" style="228" customWidth="1"/>
    <col min="11246" max="11247" width="13" style="228" customWidth="1"/>
    <col min="11248" max="11254" width="18.7109375" style="228" customWidth="1"/>
    <col min="11255" max="11255" width="21.7109375" style="228" bestFit="1" customWidth="1"/>
    <col min="11256" max="11257" width="8.7109375" style="228" customWidth="1"/>
    <col min="11258" max="11258" width="18.42578125" style="228" customWidth="1"/>
    <col min="11259" max="11264" width="15" style="228" customWidth="1"/>
    <col min="11265" max="11265" width="21.7109375" style="228" bestFit="1" customWidth="1"/>
    <col min="11266" max="11266" width="7.28515625" style="228" customWidth="1"/>
    <col min="11267" max="11267" width="14.85546875" style="228" customWidth="1"/>
    <col min="11268" max="11268" width="15.140625" style="228" bestFit="1" customWidth="1"/>
    <col min="11269" max="11269" width="25.42578125" style="228" customWidth="1"/>
    <col min="11270" max="11270" width="5.85546875" style="228" bestFit="1" customWidth="1"/>
    <col min="11271" max="11271" width="6.7109375" style="228" bestFit="1" customWidth="1"/>
    <col min="11272" max="11276" width="8.42578125" style="228" bestFit="1" customWidth="1"/>
    <col min="11277" max="11279" width="14" style="228" customWidth="1"/>
    <col min="11280" max="11473" width="9.140625" style="228"/>
    <col min="11474" max="11475" width="8.7109375" style="228" customWidth="1"/>
    <col min="11476" max="11476" width="4.7109375" style="228" customWidth="1"/>
    <col min="11477" max="11477" width="10.7109375" style="228" customWidth="1"/>
    <col min="11478" max="11478" width="5.7109375" style="228" customWidth="1"/>
    <col min="11479" max="11479" width="3.28515625" style="228" bestFit="1" customWidth="1"/>
    <col min="11480" max="11480" width="8.7109375" style="228" customWidth="1"/>
    <col min="11481" max="11481" width="4.7109375" style="228" customWidth="1"/>
    <col min="11482" max="11482" width="10.7109375" style="228" customWidth="1"/>
    <col min="11483" max="11483" width="5.7109375" style="228" customWidth="1"/>
    <col min="11484" max="11484" width="3.28515625" style="228" customWidth="1"/>
    <col min="11485" max="11485" width="8.42578125" style="228" bestFit="1" customWidth="1"/>
    <col min="11486" max="11486" width="8.85546875" style="228" customWidth="1"/>
    <col min="11487" max="11497" width="10.7109375" style="228" customWidth="1"/>
    <col min="11498" max="11498" width="13.28515625" style="228" customWidth="1"/>
    <col min="11499" max="11499" width="9.28515625" style="228" bestFit="1" customWidth="1"/>
    <col min="11500" max="11500" width="15.7109375" style="228" customWidth="1"/>
    <col min="11501" max="11501" width="7" style="228" customWidth="1"/>
    <col min="11502" max="11503" width="13" style="228" customWidth="1"/>
    <col min="11504" max="11510" width="18.7109375" style="228" customWidth="1"/>
    <col min="11511" max="11511" width="21.7109375" style="228" bestFit="1" customWidth="1"/>
    <col min="11512" max="11513" width="8.7109375" style="228" customWidth="1"/>
    <col min="11514" max="11514" width="18.42578125" style="228" customWidth="1"/>
    <col min="11515" max="11520" width="15" style="228" customWidth="1"/>
    <col min="11521" max="11521" width="21.7109375" style="228" bestFit="1" customWidth="1"/>
    <col min="11522" max="11522" width="7.28515625" style="228" customWidth="1"/>
    <col min="11523" max="11523" width="14.85546875" style="228" customWidth="1"/>
    <col min="11524" max="11524" width="15.140625" style="228" bestFit="1" customWidth="1"/>
    <col min="11525" max="11525" width="25.42578125" style="228" customWidth="1"/>
    <col min="11526" max="11526" width="5.85546875" style="228" bestFit="1" customWidth="1"/>
    <col min="11527" max="11527" width="6.7109375" style="228" bestFit="1" customWidth="1"/>
    <col min="11528" max="11532" width="8.42578125" style="228" bestFit="1" customWidth="1"/>
    <col min="11533" max="11535" width="14" style="228" customWidth="1"/>
    <col min="11536" max="11729" width="9.140625" style="228"/>
    <col min="11730" max="11731" width="8.7109375" style="228" customWidth="1"/>
    <col min="11732" max="11732" width="4.7109375" style="228" customWidth="1"/>
    <col min="11733" max="11733" width="10.7109375" style="228" customWidth="1"/>
    <col min="11734" max="11734" width="5.7109375" style="228" customWidth="1"/>
    <col min="11735" max="11735" width="3.28515625" style="228" bestFit="1" customWidth="1"/>
    <col min="11736" max="11736" width="8.7109375" style="228" customWidth="1"/>
    <col min="11737" max="11737" width="4.7109375" style="228" customWidth="1"/>
    <col min="11738" max="11738" width="10.7109375" style="228" customWidth="1"/>
    <col min="11739" max="11739" width="5.7109375" style="228" customWidth="1"/>
    <col min="11740" max="11740" width="3.28515625" style="228" customWidth="1"/>
    <col min="11741" max="11741" width="8.42578125" style="228" bestFit="1" customWidth="1"/>
    <col min="11742" max="11742" width="8.85546875" style="228" customWidth="1"/>
    <col min="11743" max="11753" width="10.7109375" style="228" customWidth="1"/>
    <col min="11754" max="11754" width="13.28515625" style="228" customWidth="1"/>
    <col min="11755" max="11755" width="9.28515625" style="228" bestFit="1" customWidth="1"/>
    <col min="11756" max="11756" width="15.7109375" style="228" customWidth="1"/>
    <col min="11757" max="11757" width="7" style="228" customWidth="1"/>
    <col min="11758" max="11759" width="13" style="228" customWidth="1"/>
    <col min="11760" max="11766" width="18.7109375" style="228" customWidth="1"/>
    <col min="11767" max="11767" width="21.7109375" style="228" bestFit="1" customWidth="1"/>
    <col min="11768" max="11769" width="8.7109375" style="228" customWidth="1"/>
    <col min="11770" max="11770" width="18.42578125" style="228" customWidth="1"/>
    <col min="11771" max="11776" width="15" style="228" customWidth="1"/>
    <col min="11777" max="11777" width="21.7109375" style="228" bestFit="1" customWidth="1"/>
    <col min="11778" max="11778" width="7.28515625" style="228" customWidth="1"/>
    <col min="11779" max="11779" width="14.85546875" style="228" customWidth="1"/>
    <col min="11780" max="11780" width="15.140625" style="228" bestFit="1" customWidth="1"/>
    <col min="11781" max="11781" width="25.42578125" style="228" customWidth="1"/>
    <col min="11782" max="11782" width="5.85546875" style="228" bestFit="1" customWidth="1"/>
    <col min="11783" max="11783" width="6.7109375" style="228" bestFit="1" customWidth="1"/>
    <col min="11784" max="11788" width="8.42578125" style="228" bestFit="1" customWidth="1"/>
    <col min="11789" max="11791" width="14" style="228" customWidth="1"/>
    <col min="11792" max="11985" width="9.140625" style="228"/>
    <col min="11986" max="11987" width="8.7109375" style="228" customWidth="1"/>
    <col min="11988" max="11988" width="4.7109375" style="228" customWidth="1"/>
    <col min="11989" max="11989" width="10.7109375" style="228" customWidth="1"/>
    <col min="11990" max="11990" width="5.7109375" style="228" customWidth="1"/>
    <col min="11991" max="11991" width="3.28515625" style="228" bestFit="1" customWidth="1"/>
    <col min="11992" max="11992" width="8.7109375" style="228" customWidth="1"/>
    <col min="11993" max="11993" width="4.7109375" style="228" customWidth="1"/>
    <col min="11994" max="11994" width="10.7109375" style="228" customWidth="1"/>
    <col min="11995" max="11995" width="5.7109375" style="228" customWidth="1"/>
    <col min="11996" max="11996" width="3.28515625" style="228" customWidth="1"/>
    <col min="11997" max="11997" width="8.42578125" style="228" bestFit="1" customWidth="1"/>
    <col min="11998" max="11998" width="8.85546875" style="228" customWidth="1"/>
    <col min="11999" max="12009" width="10.7109375" style="228" customWidth="1"/>
    <col min="12010" max="12010" width="13.28515625" style="228" customWidth="1"/>
    <col min="12011" max="12011" width="9.28515625" style="228" bestFit="1" customWidth="1"/>
    <col min="12012" max="12012" width="15.7109375" style="228" customWidth="1"/>
    <col min="12013" max="12013" width="7" style="228" customWidth="1"/>
    <col min="12014" max="12015" width="13" style="228" customWidth="1"/>
    <col min="12016" max="12022" width="18.7109375" style="228" customWidth="1"/>
    <col min="12023" max="12023" width="21.7109375" style="228" bestFit="1" customWidth="1"/>
    <col min="12024" max="12025" width="8.7109375" style="228" customWidth="1"/>
    <col min="12026" max="12026" width="18.42578125" style="228" customWidth="1"/>
    <col min="12027" max="12032" width="15" style="228" customWidth="1"/>
    <col min="12033" max="12033" width="21.7109375" style="228" bestFit="1" customWidth="1"/>
    <col min="12034" max="12034" width="7.28515625" style="228" customWidth="1"/>
    <col min="12035" max="12035" width="14.85546875" style="228" customWidth="1"/>
    <col min="12036" max="12036" width="15.140625" style="228" bestFit="1" customWidth="1"/>
    <col min="12037" max="12037" width="25.42578125" style="228" customWidth="1"/>
    <col min="12038" max="12038" width="5.85546875" style="228" bestFit="1" customWidth="1"/>
    <col min="12039" max="12039" width="6.7109375" style="228" bestFit="1" customWidth="1"/>
    <col min="12040" max="12044" width="8.42578125" style="228" bestFit="1" customWidth="1"/>
    <col min="12045" max="12047" width="14" style="228" customWidth="1"/>
    <col min="12048" max="12241" width="9.140625" style="228"/>
    <col min="12242" max="12243" width="8.7109375" style="228" customWidth="1"/>
    <col min="12244" max="12244" width="4.7109375" style="228" customWidth="1"/>
    <col min="12245" max="12245" width="10.7109375" style="228" customWidth="1"/>
    <col min="12246" max="12246" width="5.7109375" style="228" customWidth="1"/>
    <col min="12247" max="12247" width="3.28515625" style="228" bestFit="1" customWidth="1"/>
    <col min="12248" max="12248" width="8.7109375" style="228" customWidth="1"/>
    <col min="12249" max="12249" width="4.7109375" style="228" customWidth="1"/>
    <col min="12250" max="12250" width="10.7109375" style="228" customWidth="1"/>
    <col min="12251" max="12251" width="5.7109375" style="228" customWidth="1"/>
    <col min="12252" max="12252" width="3.28515625" style="228" customWidth="1"/>
    <col min="12253" max="12253" width="8.42578125" style="228" bestFit="1" customWidth="1"/>
    <col min="12254" max="12254" width="8.85546875" style="228" customWidth="1"/>
    <col min="12255" max="12265" width="10.7109375" style="228" customWidth="1"/>
    <col min="12266" max="12266" width="13.28515625" style="228" customWidth="1"/>
    <col min="12267" max="12267" width="9.28515625" style="228" bestFit="1" customWidth="1"/>
    <col min="12268" max="12268" width="15.7109375" style="228" customWidth="1"/>
    <col min="12269" max="12269" width="7" style="228" customWidth="1"/>
    <col min="12270" max="12271" width="13" style="228" customWidth="1"/>
    <col min="12272" max="12278" width="18.7109375" style="228" customWidth="1"/>
    <col min="12279" max="12279" width="21.7109375" style="228" bestFit="1" customWidth="1"/>
    <col min="12280" max="12281" width="8.7109375" style="228" customWidth="1"/>
    <col min="12282" max="12282" width="18.42578125" style="228" customWidth="1"/>
    <col min="12283" max="12288" width="15" style="228" customWidth="1"/>
    <col min="12289" max="12289" width="21.7109375" style="228" bestFit="1" customWidth="1"/>
    <col min="12290" max="12290" width="7.28515625" style="228" customWidth="1"/>
    <col min="12291" max="12291" width="14.85546875" style="228" customWidth="1"/>
    <col min="12292" max="12292" width="15.140625" style="228" bestFit="1" customWidth="1"/>
    <col min="12293" max="12293" width="25.42578125" style="228" customWidth="1"/>
    <col min="12294" max="12294" width="5.85546875" style="228" bestFit="1" customWidth="1"/>
    <col min="12295" max="12295" width="6.7109375" style="228" bestFit="1" customWidth="1"/>
    <col min="12296" max="12300" width="8.42578125" style="228" bestFit="1" customWidth="1"/>
    <col min="12301" max="12303" width="14" style="228" customWidth="1"/>
    <col min="12304" max="12497" width="9.140625" style="228"/>
    <col min="12498" max="12499" width="8.7109375" style="228" customWidth="1"/>
    <col min="12500" max="12500" width="4.7109375" style="228" customWidth="1"/>
    <col min="12501" max="12501" width="10.7109375" style="228" customWidth="1"/>
    <col min="12502" max="12502" width="5.7109375" style="228" customWidth="1"/>
    <col min="12503" max="12503" width="3.28515625" style="228" bestFit="1" customWidth="1"/>
    <col min="12504" max="12504" width="8.7109375" style="228" customWidth="1"/>
    <col min="12505" max="12505" width="4.7109375" style="228" customWidth="1"/>
    <col min="12506" max="12506" width="10.7109375" style="228" customWidth="1"/>
    <col min="12507" max="12507" width="5.7109375" style="228" customWidth="1"/>
    <col min="12508" max="12508" width="3.28515625" style="228" customWidth="1"/>
    <col min="12509" max="12509" width="8.42578125" style="228" bestFit="1" customWidth="1"/>
    <col min="12510" max="12510" width="8.85546875" style="228" customWidth="1"/>
    <col min="12511" max="12521" width="10.7109375" style="228" customWidth="1"/>
    <col min="12522" max="12522" width="13.28515625" style="228" customWidth="1"/>
    <col min="12523" max="12523" width="9.28515625" style="228" bestFit="1" customWidth="1"/>
    <col min="12524" max="12524" width="15.7109375" style="228" customWidth="1"/>
    <col min="12525" max="12525" width="7" style="228" customWidth="1"/>
    <col min="12526" max="12527" width="13" style="228" customWidth="1"/>
    <col min="12528" max="12534" width="18.7109375" style="228" customWidth="1"/>
    <col min="12535" max="12535" width="21.7109375" style="228" bestFit="1" customWidth="1"/>
    <col min="12536" max="12537" width="8.7109375" style="228" customWidth="1"/>
    <col min="12538" max="12538" width="18.42578125" style="228" customWidth="1"/>
    <col min="12539" max="12544" width="15" style="228" customWidth="1"/>
    <col min="12545" max="12545" width="21.7109375" style="228" bestFit="1" customWidth="1"/>
    <col min="12546" max="12546" width="7.28515625" style="228" customWidth="1"/>
    <col min="12547" max="12547" width="14.85546875" style="228" customWidth="1"/>
    <col min="12548" max="12548" width="15.140625" style="228" bestFit="1" customWidth="1"/>
    <col min="12549" max="12549" width="25.42578125" style="228" customWidth="1"/>
    <col min="12550" max="12550" width="5.85546875" style="228" bestFit="1" customWidth="1"/>
    <col min="12551" max="12551" width="6.7109375" style="228" bestFit="1" customWidth="1"/>
    <col min="12552" max="12556" width="8.42578125" style="228" bestFit="1" customWidth="1"/>
    <col min="12557" max="12559" width="14" style="228" customWidth="1"/>
    <col min="12560" max="12753" width="9.140625" style="228"/>
    <col min="12754" max="12755" width="8.7109375" style="228" customWidth="1"/>
    <col min="12756" max="12756" width="4.7109375" style="228" customWidth="1"/>
    <col min="12757" max="12757" width="10.7109375" style="228" customWidth="1"/>
    <col min="12758" max="12758" width="5.7109375" style="228" customWidth="1"/>
    <col min="12759" max="12759" width="3.28515625" style="228" bestFit="1" customWidth="1"/>
    <col min="12760" max="12760" width="8.7109375" style="228" customWidth="1"/>
    <col min="12761" max="12761" width="4.7109375" style="228" customWidth="1"/>
    <col min="12762" max="12762" width="10.7109375" style="228" customWidth="1"/>
    <col min="12763" max="12763" width="5.7109375" style="228" customWidth="1"/>
    <col min="12764" max="12764" width="3.28515625" style="228" customWidth="1"/>
    <col min="12765" max="12765" width="8.42578125" style="228" bestFit="1" customWidth="1"/>
    <col min="12766" max="12766" width="8.85546875" style="228" customWidth="1"/>
    <col min="12767" max="12777" width="10.7109375" style="228" customWidth="1"/>
    <col min="12778" max="12778" width="13.28515625" style="228" customWidth="1"/>
    <col min="12779" max="12779" width="9.28515625" style="228" bestFit="1" customWidth="1"/>
    <col min="12780" max="12780" width="15.7109375" style="228" customWidth="1"/>
    <col min="12781" max="12781" width="7" style="228" customWidth="1"/>
    <col min="12782" max="12783" width="13" style="228" customWidth="1"/>
    <col min="12784" max="12790" width="18.7109375" style="228" customWidth="1"/>
    <col min="12791" max="12791" width="21.7109375" style="228" bestFit="1" customWidth="1"/>
    <col min="12792" max="12793" width="8.7109375" style="228" customWidth="1"/>
    <col min="12794" max="12794" width="18.42578125" style="228" customWidth="1"/>
    <col min="12795" max="12800" width="15" style="228" customWidth="1"/>
    <col min="12801" max="12801" width="21.7109375" style="228" bestFit="1" customWidth="1"/>
    <col min="12802" max="12802" width="7.28515625" style="228" customWidth="1"/>
    <col min="12803" max="12803" width="14.85546875" style="228" customWidth="1"/>
    <col min="12804" max="12804" width="15.140625" style="228" bestFit="1" customWidth="1"/>
    <col min="12805" max="12805" width="25.42578125" style="228" customWidth="1"/>
    <col min="12806" max="12806" width="5.85546875" style="228" bestFit="1" customWidth="1"/>
    <col min="12807" max="12807" width="6.7109375" style="228" bestFit="1" customWidth="1"/>
    <col min="12808" max="12812" width="8.42578125" style="228" bestFit="1" customWidth="1"/>
    <col min="12813" max="12815" width="14" style="228" customWidth="1"/>
    <col min="12816" max="13009" width="9.140625" style="228"/>
    <col min="13010" max="13011" width="8.7109375" style="228" customWidth="1"/>
    <col min="13012" max="13012" width="4.7109375" style="228" customWidth="1"/>
    <col min="13013" max="13013" width="10.7109375" style="228" customWidth="1"/>
    <col min="13014" max="13014" width="5.7109375" style="228" customWidth="1"/>
    <col min="13015" max="13015" width="3.28515625" style="228" bestFit="1" customWidth="1"/>
    <col min="13016" max="13016" width="8.7109375" style="228" customWidth="1"/>
    <col min="13017" max="13017" width="4.7109375" style="228" customWidth="1"/>
    <col min="13018" max="13018" width="10.7109375" style="228" customWidth="1"/>
    <col min="13019" max="13019" width="5.7109375" style="228" customWidth="1"/>
    <col min="13020" max="13020" width="3.28515625" style="228" customWidth="1"/>
    <col min="13021" max="13021" width="8.42578125" style="228" bestFit="1" customWidth="1"/>
    <col min="13022" max="13022" width="8.85546875" style="228" customWidth="1"/>
    <col min="13023" max="13033" width="10.7109375" style="228" customWidth="1"/>
    <col min="13034" max="13034" width="13.28515625" style="228" customWidth="1"/>
    <col min="13035" max="13035" width="9.28515625" style="228" bestFit="1" customWidth="1"/>
    <col min="13036" max="13036" width="15.7109375" style="228" customWidth="1"/>
    <col min="13037" max="13037" width="7" style="228" customWidth="1"/>
    <col min="13038" max="13039" width="13" style="228" customWidth="1"/>
    <col min="13040" max="13046" width="18.7109375" style="228" customWidth="1"/>
    <col min="13047" max="13047" width="21.7109375" style="228" bestFit="1" customWidth="1"/>
    <col min="13048" max="13049" width="8.7109375" style="228" customWidth="1"/>
    <col min="13050" max="13050" width="18.42578125" style="228" customWidth="1"/>
    <col min="13051" max="13056" width="15" style="228" customWidth="1"/>
    <col min="13057" max="13057" width="21.7109375" style="228" bestFit="1" customWidth="1"/>
    <col min="13058" max="13058" width="7.28515625" style="228" customWidth="1"/>
    <col min="13059" max="13059" width="14.85546875" style="228" customWidth="1"/>
    <col min="13060" max="13060" width="15.140625" style="228" bestFit="1" customWidth="1"/>
    <col min="13061" max="13061" width="25.42578125" style="228" customWidth="1"/>
    <col min="13062" max="13062" width="5.85546875" style="228" bestFit="1" customWidth="1"/>
    <col min="13063" max="13063" width="6.7109375" style="228" bestFit="1" customWidth="1"/>
    <col min="13064" max="13068" width="8.42578125" style="228" bestFit="1" customWidth="1"/>
    <col min="13069" max="13071" width="14" style="228" customWidth="1"/>
    <col min="13072" max="13265" width="9.140625" style="228"/>
    <col min="13266" max="13267" width="8.7109375" style="228" customWidth="1"/>
    <col min="13268" max="13268" width="4.7109375" style="228" customWidth="1"/>
    <col min="13269" max="13269" width="10.7109375" style="228" customWidth="1"/>
    <col min="13270" max="13270" width="5.7109375" style="228" customWidth="1"/>
    <col min="13271" max="13271" width="3.28515625" style="228" bestFit="1" customWidth="1"/>
    <col min="13272" max="13272" width="8.7109375" style="228" customWidth="1"/>
    <col min="13273" max="13273" width="4.7109375" style="228" customWidth="1"/>
    <col min="13274" max="13274" width="10.7109375" style="228" customWidth="1"/>
    <col min="13275" max="13275" width="5.7109375" style="228" customWidth="1"/>
    <col min="13276" max="13276" width="3.28515625" style="228" customWidth="1"/>
    <col min="13277" max="13277" width="8.42578125" style="228" bestFit="1" customWidth="1"/>
    <col min="13278" max="13278" width="8.85546875" style="228" customWidth="1"/>
    <col min="13279" max="13289" width="10.7109375" style="228" customWidth="1"/>
    <col min="13290" max="13290" width="13.28515625" style="228" customWidth="1"/>
    <col min="13291" max="13291" width="9.28515625" style="228" bestFit="1" customWidth="1"/>
    <col min="13292" max="13292" width="15.7109375" style="228" customWidth="1"/>
    <col min="13293" max="13293" width="7" style="228" customWidth="1"/>
    <col min="13294" max="13295" width="13" style="228" customWidth="1"/>
    <col min="13296" max="13302" width="18.7109375" style="228" customWidth="1"/>
    <col min="13303" max="13303" width="21.7109375" style="228" bestFit="1" customWidth="1"/>
    <col min="13304" max="13305" width="8.7109375" style="228" customWidth="1"/>
    <col min="13306" max="13306" width="18.42578125" style="228" customWidth="1"/>
    <col min="13307" max="13312" width="15" style="228" customWidth="1"/>
    <col min="13313" max="13313" width="21.7109375" style="228" bestFit="1" customWidth="1"/>
    <col min="13314" max="13314" width="7.28515625" style="228" customWidth="1"/>
    <col min="13315" max="13315" width="14.85546875" style="228" customWidth="1"/>
    <col min="13316" max="13316" width="15.140625" style="228" bestFit="1" customWidth="1"/>
    <col min="13317" max="13317" width="25.42578125" style="228" customWidth="1"/>
    <col min="13318" max="13318" width="5.85546875" style="228" bestFit="1" customWidth="1"/>
    <col min="13319" max="13319" width="6.7109375" style="228" bestFit="1" customWidth="1"/>
    <col min="13320" max="13324" width="8.42578125" style="228" bestFit="1" customWidth="1"/>
    <col min="13325" max="13327" width="14" style="228" customWidth="1"/>
    <col min="13328" max="13521" width="9.140625" style="228"/>
    <col min="13522" max="13523" width="8.7109375" style="228" customWidth="1"/>
    <col min="13524" max="13524" width="4.7109375" style="228" customWidth="1"/>
    <col min="13525" max="13525" width="10.7109375" style="228" customWidth="1"/>
    <col min="13526" max="13526" width="5.7109375" style="228" customWidth="1"/>
    <col min="13527" max="13527" width="3.28515625" style="228" bestFit="1" customWidth="1"/>
    <col min="13528" max="13528" width="8.7109375" style="228" customWidth="1"/>
    <col min="13529" max="13529" width="4.7109375" style="228" customWidth="1"/>
    <col min="13530" max="13530" width="10.7109375" style="228" customWidth="1"/>
    <col min="13531" max="13531" width="5.7109375" style="228" customWidth="1"/>
    <col min="13532" max="13532" width="3.28515625" style="228" customWidth="1"/>
    <col min="13533" max="13533" width="8.42578125" style="228" bestFit="1" customWidth="1"/>
    <col min="13534" max="13534" width="8.85546875" style="228" customWidth="1"/>
    <col min="13535" max="13545" width="10.7109375" style="228" customWidth="1"/>
    <col min="13546" max="13546" width="13.28515625" style="228" customWidth="1"/>
    <col min="13547" max="13547" width="9.28515625" style="228" bestFit="1" customWidth="1"/>
    <col min="13548" max="13548" width="15.7109375" style="228" customWidth="1"/>
    <col min="13549" max="13549" width="7" style="228" customWidth="1"/>
    <col min="13550" max="13551" width="13" style="228" customWidth="1"/>
    <col min="13552" max="13558" width="18.7109375" style="228" customWidth="1"/>
    <col min="13559" max="13559" width="21.7109375" style="228" bestFit="1" customWidth="1"/>
    <col min="13560" max="13561" width="8.7109375" style="228" customWidth="1"/>
    <col min="13562" max="13562" width="18.42578125" style="228" customWidth="1"/>
    <col min="13563" max="13568" width="15" style="228" customWidth="1"/>
    <col min="13569" max="13569" width="21.7109375" style="228" bestFit="1" customWidth="1"/>
    <col min="13570" max="13570" width="7.28515625" style="228" customWidth="1"/>
    <col min="13571" max="13571" width="14.85546875" style="228" customWidth="1"/>
    <col min="13572" max="13572" width="15.140625" style="228" bestFit="1" customWidth="1"/>
    <col min="13573" max="13573" width="25.42578125" style="228" customWidth="1"/>
    <col min="13574" max="13574" width="5.85546875" style="228" bestFit="1" customWidth="1"/>
    <col min="13575" max="13575" width="6.7109375" style="228" bestFit="1" customWidth="1"/>
    <col min="13576" max="13580" width="8.42578125" style="228" bestFit="1" customWidth="1"/>
    <col min="13581" max="13583" width="14" style="228" customWidth="1"/>
    <col min="13584" max="13777" width="9.140625" style="228"/>
    <col min="13778" max="13779" width="8.7109375" style="228" customWidth="1"/>
    <col min="13780" max="13780" width="4.7109375" style="228" customWidth="1"/>
    <col min="13781" max="13781" width="10.7109375" style="228" customWidth="1"/>
    <col min="13782" max="13782" width="5.7109375" style="228" customWidth="1"/>
    <col min="13783" max="13783" width="3.28515625" style="228" bestFit="1" customWidth="1"/>
    <col min="13784" max="13784" width="8.7109375" style="228" customWidth="1"/>
    <col min="13785" max="13785" width="4.7109375" style="228" customWidth="1"/>
    <col min="13786" max="13786" width="10.7109375" style="228" customWidth="1"/>
    <col min="13787" max="13787" width="5.7109375" style="228" customWidth="1"/>
    <col min="13788" max="13788" width="3.28515625" style="228" customWidth="1"/>
    <col min="13789" max="13789" width="8.42578125" style="228" bestFit="1" customWidth="1"/>
    <col min="13790" max="13790" width="8.85546875" style="228" customWidth="1"/>
    <col min="13791" max="13801" width="10.7109375" style="228" customWidth="1"/>
    <col min="13802" max="13802" width="13.28515625" style="228" customWidth="1"/>
    <col min="13803" max="13803" width="9.28515625" style="228" bestFit="1" customWidth="1"/>
    <col min="13804" max="13804" width="15.7109375" style="228" customWidth="1"/>
    <col min="13805" max="13805" width="7" style="228" customWidth="1"/>
    <col min="13806" max="13807" width="13" style="228" customWidth="1"/>
    <col min="13808" max="13814" width="18.7109375" style="228" customWidth="1"/>
    <col min="13815" max="13815" width="21.7109375" style="228" bestFit="1" customWidth="1"/>
    <col min="13816" max="13817" width="8.7109375" style="228" customWidth="1"/>
    <col min="13818" max="13818" width="18.42578125" style="228" customWidth="1"/>
    <col min="13819" max="13824" width="15" style="228" customWidth="1"/>
    <col min="13825" max="13825" width="21.7109375" style="228" bestFit="1" customWidth="1"/>
    <col min="13826" max="13826" width="7.28515625" style="228" customWidth="1"/>
    <col min="13827" max="13827" width="14.85546875" style="228" customWidth="1"/>
    <col min="13828" max="13828" width="15.140625" style="228" bestFit="1" customWidth="1"/>
    <col min="13829" max="13829" width="25.42578125" style="228" customWidth="1"/>
    <col min="13830" max="13830" width="5.85546875" style="228" bestFit="1" customWidth="1"/>
    <col min="13831" max="13831" width="6.7109375" style="228" bestFit="1" customWidth="1"/>
    <col min="13832" max="13836" width="8.42578125" style="228" bestFit="1" customWidth="1"/>
    <col min="13837" max="13839" width="14" style="228" customWidth="1"/>
    <col min="13840" max="14033" width="9.140625" style="228"/>
    <col min="14034" max="14035" width="8.7109375" style="228" customWidth="1"/>
    <col min="14036" max="14036" width="4.7109375" style="228" customWidth="1"/>
    <col min="14037" max="14037" width="10.7109375" style="228" customWidth="1"/>
    <col min="14038" max="14038" width="5.7109375" style="228" customWidth="1"/>
    <col min="14039" max="14039" width="3.28515625" style="228" bestFit="1" customWidth="1"/>
    <col min="14040" max="14040" width="8.7109375" style="228" customWidth="1"/>
    <col min="14041" max="14041" width="4.7109375" style="228" customWidth="1"/>
    <col min="14042" max="14042" width="10.7109375" style="228" customWidth="1"/>
    <col min="14043" max="14043" width="5.7109375" style="228" customWidth="1"/>
    <col min="14044" max="14044" width="3.28515625" style="228" customWidth="1"/>
    <col min="14045" max="14045" width="8.42578125" style="228" bestFit="1" customWidth="1"/>
    <col min="14046" max="14046" width="8.85546875" style="228" customWidth="1"/>
    <col min="14047" max="14057" width="10.7109375" style="228" customWidth="1"/>
    <col min="14058" max="14058" width="13.28515625" style="228" customWidth="1"/>
    <col min="14059" max="14059" width="9.28515625" style="228" bestFit="1" customWidth="1"/>
    <col min="14060" max="14060" width="15.7109375" style="228" customWidth="1"/>
    <col min="14061" max="14061" width="7" style="228" customWidth="1"/>
    <col min="14062" max="14063" width="13" style="228" customWidth="1"/>
    <col min="14064" max="14070" width="18.7109375" style="228" customWidth="1"/>
    <col min="14071" max="14071" width="21.7109375" style="228" bestFit="1" customWidth="1"/>
    <col min="14072" max="14073" width="8.7109375" style="228" customWidth="1"/>
    <col min="14074" max="14074" width="18.42578125" style="228" customWidth="1"/>
    <col min="14075" max="14080" width="15" style="228" customWidth="1"/>
    <col min="14081" max="14081" width="21.7109375" style="228" bestFit="1" customWidth="1"/>
    <col min="14082" max="14082" width="7.28515625" style="228" customWidth="1"/>
    <col min="14083" max="14083" width="14.85546875" style="228" customWidth="1"/>
    <col min="14084" max="14084" width="15.140625" style="228" bestFit="1" customWidth="1"/>
    <col min="14085" max="14085" width="25.42578125" style="228" customWidth="1"/>
    <col min="14086" max="14086" width="5.85546875" style="228" bestFit="1" customWidth="1"/>
    <col min="14087" max="14087" width="6.7109375" style="228" bestFit="1" customWidth="1"/>
    <col min="14088" max="14092" width="8.42578125" style="228" bestFit="1" customWidth="1"/>
    <col min="14093" max="14095" width="14" style="228" customWidth="1"/>
    <col min="14096" max="14289" width="9.140625" style="228"/>
    <col min="14290" max="14291" width="8.7109375" style="228" customWidth="1"/>
    <col min="14292" max="14292" width="4.7109375" style="228" customWidth="1"/>
    <col min="14293" max="14293" width="10.7109375" style="228" customWidth="1"/>
    <col min="14294" max="14294" width="5.7109375" style="228" customWidth="1"/>
    <col min="14295" max="14295" width="3.28515625" style="228" bestFit="1" customWidth="1"/>
    <col min="14296" max="14296" width="8.7109375" style="228" customWidth="1"/>
    <col min="14297" max="14297" width="4.7109375" style="228" customWidth="1"/>
    <col min="14298" max="14298" width="10.7109375" style="228" customWidth="1"/>
    <col min="14299" max="14299" width="5.7109375" style="228" customWidth="1"/>
    <col min="14300" max="14300" width="3.28515625" style="228" customWidth="1"/>
    <col min="14301" max="14301" width="8.42578125" style="228" bestFit="1" customWidth="1"/>
    <col min="14302" max="14302" width="8.85546875" style="228" customWidth="1"/>
    <col min="14303" max="14313" width="10.7109375" style="228" customWidth="1"/>
    <col min="14314" max="14314" width="13.28515625" style="228" customWidth="1"/>
    <col min="14315" max="14315" width="9.28515625" style="228" bestFit="1" customWidth="1"/>
    <col min="14316" max="14316" width="15.7109375" style="228" customWidth="1"/>
    <col min="14317" max="14317" width="7" style="228" customWidth="1"/>
    <col min="14318" max="14319" width="13" style="228" customWidth="1"/>
    <col min="14320" max="14326" width="18.7109375" style="228" customWidth="1"/>
    <col min="14327" max="14327" width="21.7109375" style="228" bestFit="1" customWidth="1"/>
    <col min="14328" max="14329" width="8.7109375" style="228" customWidth="1"/>
    <col min="14330" max="14330" width="18.42578125" style="228" customWidth="1"/>
    <col min="14331" max="14336" width="15" style="228" customWidth="1"/>
    <col min="14337" max="14337" width="21.7109375" style="228" bestFit="1" customWidth="1"/>
    <col min="14338" max="14338" width="7.28515625" style="228" customWidth="1"/>
    <col min="14339" max="14339" width="14.85546875" style="228" customWidth="1"/>
    <col min="14340" max="14340" width="15.140625" style="228" bestFit="1" customWidth="1"/>
    <col min="14341" max="14341" width="25.42578125" style="228" customWidth="1"/>
    <col min="14342" max="14342" width="5.85546875" style="228" bestFit="1" customWidth="1"/>
    <col min="14343" max="14343" width="6.7109375" style="228" bestFit="1" customWidth="1"/>
    <col min="14344" max="14348" width="8.42578125" style="228" bestFit="1" customWidth="1"/>
    <col min="14349" max="14351" width="14" style="228" customWidth="1"/>
    <col min="14352" max="14545" width="9.140625" style="228"/>
    <col min="14546" max="14547" width="8.7109375" style="228" customWidth="1"/>
    <col min="14548" max="14548" width="4.7109375" style="228" customWidth="1"/>
    <col min="14549" max="14549" width="10.7109375" style="228" customWidth="1"/>
    <col min="14550" max="14550" width="5.7109375" style="228" customWidth="1"/>
    <col min="14551" max="14551" width="3.28515625" style="228" bestFit="1" customWidth="1"/>
    <col min="14552" max="14552" width="8.7109375" style="228" customWidth="1"/>
    <col min="14553" max="14553" width="4.7109375" style="228" customWidth="1"/>
    <col min="14554" max="14554" width="10.7109375" style="228" customWidth="1"/>
    <col min="14555" max="14555" width="5.7109375" style="228" customWidth="1"/>
    <col min="14556" max="14556" width="3.28515625" style="228" customWidth="1"/>
    <col min="14557" max="14557" width="8.42578125" style="228" bestFit="1" customWidth="1"/>
    <col min="14558" max="14558" width="8.85546875" style="228" customWidth="1"/>
    <col min="14559" max="14569" width="10.7109375" style="228" customWidth="1"/>
    <col min="14570" max="14570" width="13.28515625" style="228" customWidth="1"/>
    <col min="14571" max="14571" width="9.28515625" style="228" bestFit="1" customWidth="1"/>
    <col min="14572" max="14572" width="15.7109375" style="228" customWidth="1"/>
    <col min="14573" max="14573" width="7" style="228" customWidth="1"/>
    <col min="14574" max="14575" width="13" style="228" customWidth="1"/>
    <col min="14576" max="14582" width="18.7109375" style="228" customWidth="1"/>
    <col min="14583" max="14583" width="21.7109375" style="228" bestFit="1" customWidth="1"/>
    <col min="14584" max="14585" width="8.7109375" style="228" customWidth="1"/>
    <col min="14586" max="14586" width="18.42578125" style="228" customWidth="1"/>
    <col min="14587" max="14592" width="15" style="228" customWidth="1"/>
    <col min="14593" max="14593" width="21.7109375" style="228" bestFit="1" customWidth="1"/>
    <col min="14594" max="14594" width="7.28515625" style="228" customWidth="1"/>
    <col min="14595" max="14595" width="14.85546875" style="228" customWidth="1"/>
    <col min="14596" max="14596" width="15.140625" style="228" bestFit="1" customWidth="1"/>
    <col min="14597" max="14597" width="25.42578125" style="228" customWidth="1"/>
    <col min="14598" max="14598" width="5.85546875" style="228" bestFit="1" customWidth="1"/>
    <col min="14599" max="14599" width="6.7109375" style="228" bestFit="1" customWidth="1"/>
    <col min="14600" max="14604" width="8.42578125" style="228" bestFit="1" customWidth="1"/>
    <col min="14605" max="14607" width="14" style="228" customWidth="1"/>
    <col min="14608" max="14801" width="9.140625" style="228"/>
    <col min="14802" max="14803" width="8.7109375" style="228" customWidth="1"/>
    <col min="14804" max="14804" width="4.7109375" style="228" customWidth="1"/>
    <col min="14805" max="14805" width="10.7109375" style="228" customWidth="1"/>
    <col min="14806" max="14806" width="5.7109375" style="228" customWidth="1"/>
    <col min="14807" max="14807" width="3.28515625" style="228" bestFit="1" customWidth="1"/>
    <col min="14808" max="14808" width="8.7109375" style="228" customWidth="1"/>
    <col min="14809" max="14809" width="4.7109375" style="228" customWidth="1"/>
    <col min="14810" max="14810" width="10.7109375" style="228" customWidth="1"/>
    <col min="14811" max="14811" width="5.7109375" style="228" customWidth="1"/>
    <col min="14812" max="14812" width="3.28515625" style="228" customWidth="1"/>
    <col min="14813" max="14813" width="8.42578125" style="228" bestFit="1" customWidth="1"/>
    <col min="14814" max="14814" width="8.85546875" style="228" customWidth="1"/>
    <col min="14815" max="14825" width="10.7109375" style="228" customWidth="1"/>
    <col min="14826" max="14826" width="13.28515625" style="228" customWidth="1"/>
    <col min="14827" max="14827" width="9.28515625" style="228" bestFit="1" customWidth="1"/>
    <col min="14828" max="14828" width="15.7109375" style="228" customWidth="1"/>
    <col min="14829" max="14829" width="7" style="228" customWidth="1"/>
    <col min="14830" max="14831" width="13" style="228" customWidth="1"/>
    <col min="14832" max="14838" width="18.7109375" style="228" customWidth="1"/>
    <col min="14839" max="14839" width="21.7109375" style="228" bestFit="1" customWidth="1"/>
    <col min="14840" max="14841" width="8.7109375" style="228" customWidth="1"/>
    <col min="14842" max="14842" width="18.42578125" style="228" customWidth="1"/>
    <col min="14843" max="14848" width="15" style="228" customWidth="1"/>
    <col min="14849" max="14849" width="21.7109375" style="228" bestFit="1" customWidth="1"/>
    <col min="14850" max="14850" width="7.28515625" style="228" customWidth="1"/>
    <col min="14851" max="14851" width="14.85546875" style="228" customWidth="1"/>
    <col min="14852" max="14852" width="15.140625" style="228" bestFit="1" customWidth="1"/>
    <col min="14853" max="14853" width="25.42578125" style="228" customWidth="1"/>
    <col min="14854" max="14854" width="5.85546875" style="228" bestFit="1" customWidth="1"/>
    <col min="14855" max="14855" width="6.7109375" style="228" bestFit="1" customWidth="1"/>
    <col min="14856" max="14860" width="8.42578125" style="228" bestFit="1" customWidth="1"/>
    <col min="14861" max="14863" width="14" style="228" customWidth="1"/>
    <col min="14864" max="15057" width="9.140625" style="228"/>
    <col min="15058" max="15059" width="8.7109375" style="228" customWidth="1"/>
    <col min="15060" max="15060" width="4.7109375" style="228" customWidth="1"/>
    <col min="15061" max="15061" width="10.7109375" style="228" customWidth="1"/>
    <col min="15062" max="15062" width="5.7109375" style="228" customWidth="1"/>
    <col min="15063" max="15063" width="3.28515625" style="228" bestFit="1" customWidth="1"/>
    <col min="15064" max="15064" width="8.7109375" style="228" customWidth="1"/>
    <col min="15065" max="15065" width="4.7109375" style="228" customWidth="1"/>
    <col min="15066" max="15066" width="10.7109375" style="228" customWidth="1"/>
    <col min="15067" max="15067" width="5.7109375" style="228" customWidth="1"/>
    <col min="15068" max="15068" width="3.28515625" style="228" customWidth="1"/>
    <col min="15069" max="15069" width="8.42578125" style="228" bestFit="1" customWidth="1"/>
    <col min="15070" max="15070" width="8.85546875" style="228" customWidth="1"/>
    <col min="15071" max="15081" width="10.7109375" style="228" customWidth="1"/>
    <col min="15082" max="15082" width="13.28515625" style="228" customWidth="1"/>
    <col min="15083" max="15083" width="9.28515625" style="228" bestFit="1" customWidth="1"/>
    <col min="15084" max="15084" width="15.7109375" style="228" customWidth="1"/>
    <col min="15085" max="15085" width="7" style="228" customWidth="1"/>
    <col min="15086" max="15087" width="13" style="228" customWidth="1"/>
    <col min="15088" max="15094" width="18.7109375" style="228" customWidth="1"/>
    <col min="15095" max="15095" width="21.7109375" style="228" bestFit="1" customWidth="1"/>
    <col min="15096" max="15097" width="8.7109375" style="228" customWidth="1"/>
    <col min="15098" max="15098" width="18.42578125" style="228" customWidth="1"/>
    <col min="15099" max="15104" width="15" style="228" customWidth="1"/>
    <col min="15105" max="15105" width="21.7109375" style="228" bestFit="1" customWidth="1"/>
    <col min="15106" max="15106" width="7.28515625" style="228" customWidth="1"/>
    <col min="15107" max="15107" width="14.85546875" style="228" customWidth="1"/>
    <col min="15108" max="15108" width="15.140625" style="228" bestFit="1" customWidth="1"/>
    <col min="15109" max="15109" width="25.42578125" style="228" customWidth="1"/>
    <col min="15110" max="15110" width="5.85546875" style="228" bestFit="1" customWidth="1"/>
    <col min="15111" max="15111" width="6.7109375" style="228" bestFit="1" customWidth="1"/>
    <col min="15112" max="15116" width="8.42578125" style="228" bestFit="1" customWidth="1"/>
    <col min="15117" max="15119" width="14" style="228" customWidth="1"/>
    <col min="15120" max="15313" width="9.140625" style="228"/>
    <col min="15314" max="15315" width="8.7109375" style="228" customWidth="1"/>
    <col min="15316" max="15316" width="4.7109375" style="228" customWidth="1"/>
    <col min="15317" max="15317" width="10.7109375" style="228" customWidth="1"/>
    <col min="15318" max="15318" width="5.7109375" style="228" customWidth="1"/>
    <col min="15319" max="15319" width="3.28515625" style="228" bestFit="1" customWidth="1"/>
    <col min="15320" max="15320" width="8.7109375" style="228" customWidth="1"/>
    <col min="15321" max="15321" width="4.7109375" style="228" customWidth="1"/>
    <col min="15322" max="15322" width="10.7109375" style="228" customWidth="1"/>
    <col min="15323" max="15323" width="5.7109375" style="228" customWidth="1"/>
    <col min="15324" max="15324" width="3.28515625" style="228" customWidth="1"/>
    <col min="15325" max="15325" width="8.42578125" style="228" bestFit="1" customWidth="1"/>
    <col min="15326" max="15326" width="8.85546875" style="228" customWidth="1"/>
    <col min="15327" max="15337" width="10.7109375" style="228" customWidth="1"/>
    <col min="15338" max="15338" width="13.28515625" style="228" customWidth="1"/>
    <col min="15339" max="15339" width="9.28515625" style="228" bestFit="1" customWidth="1"/>
    <col min="15340" max="15340" width="15.7109375" style="228" customWidth="1"/>
    <col min="15341" max="15341" width="7" style="228" customWidth="1"/>
    <col min="15342" max="15343" width="13" style="228" customWidth="1"/>
    <col min="15344" max="15350" width="18.7109375" style="228" customWidth="1"/>
    <col min="15351" max="15351" width="21.7109375" style="228" bestFit="1" customWidth="1"/>
    <col min="15352" max="15353" width="8.7109375" style="228" customWidth="1"/>
    <col min="15354" max="15354" width="18.42578125" style="228" customWidth="1"/>
    <col min="15355" max="15360" width="15" style="228" customWidth="1"/>
    <col min="15361" max="15361" width="21.7109375" style="228" bestFit="1" customWidth="1"/>
    <col min="15362" max="15362" width="7.28515625" style="228" customWidth="1"/>
    <col min="15363" max="15363" width="14.85546875" style="228" customWidth="1"/>
    <col min="15364" max="15364" width="15.140625" style="228" bestFit="1" customWidth="1"/>
    <col min="15365" max="15365" width="25.42578125" style="228" customWidth="1"/>
    <col min="15366" max="15366" width="5.85546875" style="228" bestFit="1" customWidth="1"/>
    <col min="15367" max="15367" width="6.7109375" style="228" bestFit="1" customWidth="1"/>
    <col min="15368" max="15372" width="8.42578125" style="228" bestFit="1" customWidth="1"/>
    <col min="15373" max="15375" width="14" style="228" customWidth="1"/>
    <col min="15376" max="15569" width="9.140625" style="228"/>
    <col min="15570" max="15571" width="8.7109375" style="228" customWidth="1"/>
    <col min="15572" max="15572" width="4.7109375" style="228" customWidth="1"/>
    <col min="15573" max="15573" width="10.7109375" style="228" customWidth="1"/>
    <col min="15574" max="15574" width="5.7109375" style="228" customWidth="1"/>
    <col min="15575" max="15575" width="3.28515625" style="228" bestFit="1" customWidth="1"/>
    <col min="15576" max="15576" width="8.7109375" style="228" customWidth="1"/>
    <col min="15577" max="15577" width="4.7109375" style="228" customWidth="1"/>
    <col min="15578" max="15578" width="10.7109375" style="228" customWidth="1"/>
    <col min="15579" max="15579" width="5.7109375" style="228" customWidth="1"/>
    <col min="15580" max="15580" width="3.28515625" style="228" customWidth="1"/>
    <col min="15581" max="15581" width="8.42578125" style="228" bestFit="1" customWidth="1"/>
    <col min="15582" max="15582" width="8.85546875" style="228" customWidth="1"/>
    <col min="15583" max="15593" width="10.7109375" style="228" customWidth="1"/>
    <col min="15594" max="15594" width="13.28515625" style="228" customWidth="1"/>
    <col min="15595" max="15595" width="9.28515625" style="228" bestFit="1" customWidth="1"/>
    <col min="15596" max="15596" width="15.7109375" style="228" customWidth="1"/>
    <col min="15597" max="15597" width="7" style="228" customWidth="1"/>
    <col min="15598" max="15599" width="13" style="228" customWidth="1"/>
    <col min="15600" max="15606" width="18.7109375" style="228" customWidth="1"/>
    <col min="15607" max="15607" width="21.7109375" style="228" bestFit="1" customWidth="1"/>
    <col min="15608" max="15609" width="8.7109375" style="228" customWidth="1"/>
    <col min="15610" max="15610" width="18.42578125" style="228" customWidth="1"/>
    <col min="15611" max="15616" width="15" style="228" customWidth="1"/>
    <col min="15617" max="15617" width="21.7109375" style="228" bestFit="1" customWidth="1"/>
    <col min="15618" max="15618" width="7.28515625" style="228" customWidth="1"/>
    <col min="15619" max="15619" width="14.85546875" style="228" customWidth="1"/>
    <col min="15620" max="15620" width="15.140625" style="228" bestFit="1" customWidth="1"/>
    <col min="15621" max="15621" width="25.42578125" style="228" customWidth="1"/>
    <col min="15622" max="15622" width="5.85546875" style="228" bestFit="1" customWidth="1"/>
    <col min="15623" max="15623" width="6.7109375" style="228" bestFit="1" customWidth="1"/>
    <col min="15624" max="15628" width="8.42578125" style="228" bestFit="1" customWidth="1"/>
    <col min="15629" max="15631" width="14" style="228" customWidth="1"/>
    <col min="15632" max="15825" width="9.140625" style="228"/>
    <col min="15826" max="15827" width="8.7109375" style="228" customWidth="1"/>
    <col min="15828" max="15828" width="4.7109375" style="228" customWidth="1"/>
    <col min="15829" max="15829" width="10.7109375" style="228" customWidth="1"/>
    <col min="15830" max="15830" width="5.7109375" style="228" customWidth="1"/>
    <col min="15831" max="15831" width="3.28515625" style="228" bestFit="1" customWidth="1"/>
    <col min="15832" max="15832" width="8.7109375" style="228" customWidth="1"/>
    <col min="15833" max="15833" width="4.7109375" style="228" customWidth="1"/>
    <col min="15834" max="15834" width="10.7109375" style="228" customWidth="1"/>
    <col min="15835" max="15835" width="5.7109375" style="228" customWidth="1"/>
    <col min="15836" max="15836" width="3.28515625" style="228" customWidth="1"/>
    <col min="15837" max="15837" width="8.42578125" style="228" bestFit="1" customWidth="1"/>
    <col min="15838" max="15838" width="8.85546875" style="228" customWidth="1"/>
    <col min="15839" max="15849" width="10.7109375" style="228" customWidth="1"/>
    <col min="15850" max="15850" width="13.28515625" style="228" customWidth="1"/>
    <col min="15851" max="15851" width="9.28515625" style="228" bestFit="1" customWidth="1"/>
    <col min="15852" max="15852" width="15.7109375" style="228" customWidth="1"/>
    <col min="15853" max="15853" width="7" style="228" customWidth="1"/>
    <col min="15854" max="15855" width="13" style="228" customWidth="1"/>
    <col min="15856" max="15862" width="18.7109375" style="228" customWidth="1"/>
    <col min="15863" max="15863" width="21.7109375" style="228" bestFit="1" customWidth="1"/>
    <col min="15864" max="15865" width="8.7109375" style="228" customWidth="1"/>
    <col min="15866" max="15866" width="18.42578125" style="228" customWidth="1"/>
    <col min="15867" max="15872" width="15" style="228" customWidth="1"/>
    <col min="15873" max="15873" width="21.7109375" style="228" bestFit="1" customWidth="1"/>
    <col min="15874" max="15874" width="7.28515625" style="228" customWidth="1"/>
    <col min="15875" max="15875" width="14.85546875" style="228" customWidth="1"/>
    <col min="15876" max="15876" width="15.140625" style="228" bestFit="1" customWidth="1"/>
    <col min="15877" max="15877" width="25.42578125" style="228" customWidth="1"/>
    <col min="15878" max="15878" width="5.85546875" style="228" bestFit="1" customWidth="1"/>
    <col min="15879" max="15879" width="6.7109375" style="228" bestFit="1" customWidth="1"/>
    <col min="15880" max="15884" width="8.42578125" style="228" bestFit="1" customWidth="1"/>
    <col min="15885" max="15887" width="14" style="228" customWidth="1"/>
    <col min="15888" max="16081" width="9.140625" style="228"/>
    <col min="16082" max="16083" width="8.7109375" style="228" customWidth="1"/>
    <col min="16084" max="16084" width="4.7109375" style="228" customWidth="1"/>
    <col min="16085" max="16085" width="10.7109375" style="228" customWidth="1"/>
    <col min="16086" max="16086" width="5.7109375" style="228" customWidth="1"/>
    <col min="16087" max="16087" width="3.28515625" style="228" bestFit="1" customWidth="1"/>
    <col min="16088" max="16088" width="8.7109375" style="228" customWidth="1"/>
    <col min="16089" max="16089" width="4.7109375" style="228" customWidth="1"/>
    <col min="16090" max="16090" width="10.7109375" style="228" customWidth="1"/>
    <col min="16091" max="16091" width="5.7109375" style="228" customWidth="1"/>
    <col min="16092" max="16092" width="3.28515625" style="228" customWidth="1"/>
    <col min="16093" max="16093" width="8.42578125" style="228" bestFit="1" customWidth="1"/>
    <col min="16094" max="16094" width="8.85546875" style="228" customWidth="1"/>
    <col min="16095" max="16105" width="10.7109375" style="228" customWidth="1"/>
    <col min="16106" max="16106" width="13.28515625" style="228" customWidth="1"/>
    <col min="16107" max="16107" width="9.28515625" style="228" bestFit="1" customWidth="1"/>
    <col min="16108" max="16108" width="15.7109375" style="228" customWidth="1"/>
    <col min="16109" max="16109" width="7" style="228" customWidth="1"/>
    <col min="16110" max="16111" width="13" style="228" customWidth="1"/>
    <col min="16112" max="16118" width="18.7109375" style="228" customWidth="1"/>
    <col min="16119" max="16119" width="21.7109375" style="228" bestFit="1" customWidth="1"/>
    <col min="16120" max="16121" width="8.7109375" style="228" customWidth="1"/>
    <col min="16122" max="16122" width="18.42578125" style="228" customWidth="1"/>
    <col min="16123" max="16128" width="15" style="228" customWidth="1"/>
    <col min="16129" max="16129" width="21.7109375" style="228" bestFit="1" customWidth="1"/>
    <col min="16130" max="16130" width="7.28515625" style="228" customWidth="1"/>
    <col min="16131" max="16131" width="14.85546875" style="228" customWidth="1"/>
    <col min="16132" max="16132" width="15.140625" style="228" bestFit="1" customWidth="1"/>
    <col min="16133" max="16133" width="25.42578125" style="228" customWidth="1"/>
    <col min="16134" max="16134" width="5.85546875" style="228" bestFit="1" customWidth="1"/>
    <col min="16135" max="16135" width="6.7109375" style="228" bestFit="1" customWidth="1"/>
    <col min="16136" max="16140" width="8.42578125" style="228" bestFit="1" customWidth="1"/>
    <col min="16141" max="16143" width="14" style="228" customWidth="1"/>
    <col min="16144" max="16384" width="9.140625" style="228"/>
  </cols>
  <sheetData>
    <row r="1" spans="1:15" ht="15" customHeight="1" x14ac:dyDescent="0.2"/>
    <row r="2" spans="1:15" ht="15" customHeight="1" x14ac:dyDescent="0.2">
      <c r="A2" s="615" t="s">
        <v>91</v>
      </c>
      <c r="B2" s="615"/>
      <c r="C2" s="615"/>
      <c r="D2" s="615"/>
      <c r="F2" s="237"/>
    </row>
    <row r="3" spans="1:15" ht="15" customHeight="1" x14ac:dyDescent="0.2">
      <c r="A3" s="200"/>
      <c r="B3" s="200"/>
      <c r="C3" s="200"/>
      <c r="D3" s="235"/>
      <c r="E3" s="237"/>
    </row>
    <row r="4" spans="1:15" ht="15" customHeight="1" x14ac:dyDescent="0.2">
      <c r="A4" s="202"/>
      <c r="B4" s="202"/>
      <c r="C4" s="202"/>
      <c r="D4" s="203">
        <v>440.44099999999997</v>
      </c>
      <c r="E4" s="237"/>
    </row>
    <row r="5" spans="1:15" ht="15" customHeight="1" x14ac:dyDescent="0.2">
      <c r="A5" s="202"/>
      <c r="B5" s="202"/>
      <c r="C5" s="202"/>
      <c r="D5" s="211" t="s">
        <v>184</v>
      </c>
      <c r="E5" s="237"/>
    </row>
    <row r="6" spans="1:15" ht="15" customHeight="1" x14ac:dyDescent="0.2">
      <c r="A6" s="202"/>
      <c r="B6" s="202"/>
      <c r="C6" s="202"/>
      <c r="D6" s="211" t="s">
        <v>185</v>
      </c>
    </row>
    <row r="7" spans="1:15" ht="15" customHeight="1" thickBot="1" x14ac:dyDescent="0.25">
      <c r="A7" s="191" t="s">
        <v>174</v>
      </c>
      <c r="B7" s="192" t="s">
        <v>9</v>
      </c>
      <c r="C7" s="217" t="s">
        <v>3</v>
      </c>
      <c r="D7" s="217" t="s">
        <v>92</v>
      </c>
      <c r="E7" s="237"/>
    </row>
    <row r="8" spans="1:15" ht="15" customHeight="1" thickTop="1" x14ac:dyDescent="0.2">
      <c r="A8" s="204"/>
      <c r="B8" s="204"/>
      <c r="C8" s="204"/>
      <c r="D8" s="205"/>
      <c r="E8" s="237"/>
      <c r="F8" s="545" t="s">
        <v>358</v>
      </c>
    </row>
    <row r="9" spans="1:15" s="222" customFormat="1" ht="15" customHeight="1" x14ac:dyDescent="0.2">
      <c r="A9" s="202" t="s">
        <v>108</v>
      </c>
      <c r="B9" s="211" t="s">
        <v>180</v>
      </c>
      <c r="C9" s="205" t="s">
        <v>13</v>
      </c>
      <c r="D9" s="234">
        <f>0.07*2000*2</f>
        <v>280</v>
      </c>
      <c r="E9" s="237"/>
      <c r="F9" s="228"/>
      <c r="G9" s="228"/>
      <c r="H9" s="228"/>
      <c r="I9" s="228"/>
      <c r="J9" s="228"/>
      <c r="K9" s="228"/>
      <c r="L9" s="228"/>
      <c r="M9" s="228"/>
      <c r="N9" s="228"/>
    </row>
    <row r="10" spans="1:15" s="222" customFormat="1" ht="15" customHeight="1" x14ac:dyDescent="0.2">
      <c r="A10" s="202" t="s">
        <v>108</v>
      </c>
      <c r="B10" s="211" t="s">
        <v>181</v>
      </c>
      <c r="C10" s="205" t="s">
        <v>13</v>
      </c>
      <c r="D10" s="234">
        <f>ROUNDUP(A33*2000*2,100)</f>
        <v>15773.25</v>
      </c>
      <c r="E10" s="237"/>
      <c r="F10" s="228"/>
      <c r="G10" s="228"/>
      <c r="H10" s="228"/>
      <c r="I10" s="228"/>
      <c r="J10" s="228"/>
      <c r="K10" s="228"/>
      <c r="L10" s="228"/>
      <c r="M10" s="228"/>
      <c r="N10" s="228"/>
    </row>
    <row r="11" spans="1:15" s="222" customFormat="1" ht="15" customHeight="1" x14ac:dyDescent="0.2">
      <c r="A11" s="214"/>
      <c r="B11" s="214"/>
      <c r="C11" s="214"/>
      <c r="D11" s="403"/>
      <c r="E11" s="237"/>
      <c r="F11" s="228"/>
      <c r="G11" s="228"/>
      <c r="H11" s="228"/>
      <c r="I11" s="228"/>
      <c r="J11" s="228"/>
      <c r="K11" s="228"/>
      <c r="L11" s="228"/>
      <c r="M11" s="228"/>
      <c r="N11" s="228"/>
    </row>
    <row r="12" spans="1:15" s="222" customFormat="1" ht="15" customHeight="1" x14ac:dyDescent="0.2">
      <c r="A12" s="413" t="s">
        <v>163</v>
      </c>
      <c r="B12" s="413"/>
      <c r="C12" s="413"/>
      <c r="D12" s="417">
        <f>SUM(D9:D11)</f>
        <v>16053.25</v>
      </c>
      <c r="E12" s="237"/>
      <c r="F12" s="228"/>
      <c r="G12" s="228"/>
      <c r="H12" s="228"/>
      <c r="I12" s="228"/>
      <c r="J12" s="228"/>
      <c r="K12" s="228"/>
      <c r="L12" s="228"/>
      <c r="M12" s="228"/>
      <c r="N12" s="228"/>
    </row>
    <row r="13" spans="1:15" s="222" customFormat="1" x14ac:dyDescent="0.2">
      <c r="C13" s="244"/>
      <c r="D13" s="244"/>
      <c r="E13" s="237"/>
      <c r="F13" s="228"/>
      <c r="G13" s="228"/>
      <c r="H13" s="228"/>
      <c r="I13" s="228"/>
      <c r="J13" s="228"/>
      <c r="K13" s="228"/>
      <c r="L13" s="228"/>
      <c r="M13" s="228"/>
      <c r="N13" s="228"/>
    </row>
    <row r="14" spans="1:15" s="222" customFormat="1" x14ac:dyDescent="0.2">
      <c r="E14" s="237"/>
      <c r="F14" s="228"/>
      <c r="G14" s="228"/>
      <c r="H14" s="228"/>
      <c r="I14" s="228"/>
      <c r="J14" s="228"/>
      <c r="K14" s="228"/>
      <c r="L14" s="228"/>
      <c r="M14" s="228"/>
      <c r="N14" s="228"/>
    </row>
    <row r="15" spans="1:15" s="222" customFormat="1" x14ac:dyDescent="0.2">
      <c r="E15" s="237"/>
      <c r="F15" s="228"/>
      <c r="G15" s="228"/>
      <c r="H15" s="228"/>
      <c r="I15" s="228"/>
      <c r="J15" s="228"/>
      <c r="K15" s="228"/>
      <c r="L15" s="228"/>
      <c r="M15" s="228"/>
      <c r="N15" s="228"/>
    </row>
    <row r="16" spans="1:15" s="222" customFormat="1" ht="15" x14ac:dyDescent="0.25">
      <c r="A16" t="s">
        <v>235</v>
      </c>
      <c r="C16" s="246"/>
      <c r="D16" s="246"/>
      <c r="E16" s="246"/>
      <c r="F16" s="237"/>
      <c r="G16" s="228"/>
      <c r="H16" s="228"/>
      <c r="I16" s="228"/>
      <c r="J16" s="228"/>
      <c r="K16" s="228"/>
      <c r="L16" s="228"/>
      <c r="M16" s="228"/>
      <c r="N16" s="228"/>
      <c r="O16" s="228"/>
    </row>
    <row r="17" spans="1:330" s="222" customFormat="1" ht="15" x14ac:dyDescent="0.25">
      <c r="A17" t="s">
        <v>221</v>
      </c>
      <c r="C17" s="247"/>
      <c r="D17" s="247"/>
      <c r="E17" s="243"/>
      <c r="F17" s="237"/>
      <c r="G17" s="228"/>
      <c r="H17" s="228"/>
      <c r="I17" s="228"/>
      <c r="J17" s="228"/>
      <c r="K17" s="228"/>
      <c r="L17" s="228"/>
      <c r="M17" s="228"/>
      <c r="N17" s="228"/>
      <c r="O17" s="228"/>
    </row>
    <row r="18" spans="1:330" s="222" customFormat="1" x14ac:dyDescent="0.2">
      <c r="C18" s="239"/>
      <c r="D18" s="239"/>
      <c r="E18" s="241"/>
      <c r="F18" s="237"/>
      <c r="G18" s="228"/>
      <c r="H18" s="228"/>
      <c r="I18" s="228"/>
      <c r="J18" s="228"/>
      <c r="K18" s="228"/>
      <c r="L18" s="228"/>
      <c r="M18" s="228"/>
      <c r="N18" s="228"/>
      <c r="O18" s="228"/>
    </row>
    <row r="19" spans="1:330" s="222" customFormat="1" x14ac:dyDescent="0.2">
      <c r="C19" s="239"/>
      <c r="D19" s="239"/>
      <c r="E19" s="241"/>
      <c r="F19" s="237"/>
      <c r="G19" s="228"/>
      <c r="H19" s="228"/>
      <c r="I19" s="228"/>
      <c r="J19" s="228"/>
      <c r="K19" s="228"/>
      <c r="L19" s="228"/>
      <c r="M19" s="228"/>
      <c r="N19" s="228"/>
      <c r="O19" s="228"/>
    </row>
    <row r="20" spans="1:330" ht="15" x14ac:dyDescent="0.25">
      <c r="A20" s="352" t="s">
        <v>248</v>
      </c>
      <c r="B20"/>
      <c r="C20" s="248"/>
      <c r="D20" s="248"/>
      <c r="E20" s="241"/>
    </row>
    <row r="21" spans="1:330" ht="15" x14ac:dyDescent="0.25">
      <c r="A21" s="315" t="s">
        <v>40</v>
      </c>
      <c r="B21" s="315" t="s">
        <v>227</v>
      </c>
      <c r="C21" s="239"/>
      <c r="D21" s="239"/>
      <c r="E21" s="241"/>
      <c r="F21" s="237"/>
    </row>
    <row r="22" spans="1:330" ht="15" x14ac:dyDescent="0.25">
      <c r="A22">
        <v>12185.87</v>
      </c>
      <c r="B22" t="s">
        <v>227</v>
      </c>
    </row>
    <row r="23" spans="1:330" s="249" customFormat="1" ht="15" x14ac:dyDescent="0.25">
      <c r="A23" s="22">
        <v>11806.57</v>
      </c>
      <c r="B23" s="1" t="s">
        <v>227</v>
      </c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228"/>
      <c r="AS23" s="228"/>
      <c r="AT23" s="228"/>
      <c r="AU23" s="228"/>
      <c r="AV23" s="228"/>
      <c r="AW23" s="228"/>
      <c r="AX23" s="228"/>
      <c r="AY23" s="228"/>
      <c r="AZ23" s="228"/>
      <c r="BA23" s="228"/>
      <c r="BB23" s="228"/>
      <c r="BC23" s="228"/>
      <c r="BD23" s="228"/>
      <c r="BE23" s="228"/>
      <c r="BF23" s="228"/>
      <c r="BG23" s="228"/>
      <c r="BH23" s="228"/>
      <c r="BI23" s="228"/>
      <c r="BJ23" s="228"/>
      <c r="BK23" s="228"/>
      <c r="BL23" s="228"/>
      <c r="BM23" s="228"/>
      <c r="BN23" s="228"/>
      <c r="BO23" s="228"/>
      <c r="BP23" s="228"/>
      <c r="BQ23" s="228"/>
      <c r="BR23" s="228"/>
      <c r="BS23" s="228"/>
      <c r="BT23" s="228"/>
      <c r="BU23" s="228"/>
      <c r="BV23" s="228"/>
      <c r="BW23" s="228"/>
      <c r="BX23" s="228"/>
      <c r="BY23" s="228"/>
      <c r="BZ23" s="228"/>
      <c r="CA23" s="228"/>
      <c r="CB23" s="228"/>
      <c r="CC23" s="228"/>
      <c r="CD23" s="228"/>
      <c r="CE23" s="228"/>
      <c r="CF23" s="228"/>
      <c r="CG23" s="228"/>
      <c r="CH23" s="228"/>
      <c r="CI23" s="228"/>
      <c r="CJ23" s="228"/>
      <c r="CK23" s="228"/>
      <c r="CL23" s="228"/>
      <c r="CM23" s="228"/>
      <c r="CN23" s="228"/>
      <c r="CO23" s="228"/>
      <c r="CP23" s="228"/>
      <c r="CQ23" s="228"/>
      <c r="CR23" s="228"/>
      <c r="CS23" s="228"/>
      <c r="CT23" s="228"/>
      <c r="CU23" s="228"/>
      <c r="CV23" s="228"/>
      <c r="CW23" s="228"/>
      <c r="CX23" s="228"/>
      <c r="CY23" s="228"/>
      <c r="CZ23" s="228"/>
      <c r="DA23" s="228"/>
      <c r="DB23" s="228"/>
      <c r="DC23" s="228"/>
      <c r="DD23" s="228"/>
      <c r="DE23" s="228"/>
      <c r="DF23" s="228"/>
      <c r="DG23" s="228"/>
      <c r="DH23" s="228"/>
      <c r="DI23" s="228"/>
      <c r="DJ23" s="228"/>
      <c r="DK23" s="228"/>
      <c r="DL23" s="228"/>
      <c r="DM23" s="228"/>
      <c r="DN23" s="228"/>
      <c r="DO23" s="228"/>
      <c r="DP23" s="228"/>
      <c r="DQ23" s="228"/>
      <c r="DR23" s="228"/>
      <c r="DS23" s="228"/>
      <c r="DT23" s="228"/>
      <c r="DU23" s="228"/>
      <c r="DV23" s="228"/>
      <c r="DW23" s="228"/>
      <c r="DX23" s="228"/>
      <c r="DY23" s="228"/>
      <c r="DZ23" s="228"/>
      <c r="EA23" s="228"/>
      <c r="EB23" s="228"/>
      <c r="EC23" s="228"/>
      <c r="ED23" s="228"/>
      <c r="EE23" s="228"/>
      <c r="EF23" s="228"/>
      <c r="EG23" s="228"/>
      <c r="EH23" s="228"/>
      <c r="EI23" s="228"/>
      <c r="EJ23" s="228"/>
      <c r="EK23" s="228"/>
      <c r="EL23" s="228"/>
      <c r="EM23" s="228"/>
      <c r="EN23" s="228"/>
      <c r="EO23" s="228"/>
      <c r="EP23" s="228"/>
      <c r="EQ23" s="228"/>
      <c r="ER23" s="228"/>
      <c r="ES23" s="228"/>
      <c r="ET23" s="228"/>
      <c r="EU23" s="228"/>
      <c r="EV23" s="228"/>
      <c r="EW23" s="228"/>
      <c r="EX23" s="228"/>
      <c r="EY23" s="228"/>
      <c r="EZ23" s="228"/>
      <c r="FA23" s="228"/>
      <c r="FB23" s="228"/>
      <c r="FC23" s="228"/>
      <c r="FD23" s="228"/>
      <c r="FE23" s="228"/>
      <c r="FF23" s="228"/>
      <c r="FG23" s="228"/>
      <c r="FH23" s="228"/>
      <c r="FI23" s="228"/>
      <c r="FJ23" s="228"/>
      <c r="FK23" s="228"/>
      <c r="FL23" s="228"/>
      <c r="FM23" s="228"/>
      <c r="FN23" s="228"/>
      <c r="FO23" s="228"/>
      <c r="FP23" s="228"/>
      <c r="FQ23" s="228"/>
      <c r="FR23" s="228"/>
      <c r="FS23" s="228"/>
      <c r="FT23" s="228"/>
      <c r="FU23" s="228"/>
      <c r="FV23" s="228"/>
      <c r="FW23" s="228"/>
      <c r="FX23" s="228"/>
      <c r="FY23" s="228"/>
      <c r="FZ23" s="228"/>
      <c r="GA23" s="228"/>
      <c r="GB23" s="228"/>
      <c r="GC23" s="228"/>
      <c r="GD23" s="228"/>
      <c r="GE23" s="228"/>
      <c r="GF23" s="228"/>
      <c r="GG23" s="228"/>
      <c r="GH23" s="228"/>
      <c r="GI23" s="228"/>
      <c r="GJ23" s="228"/>
      <c r="GK23" s="228"/>
      <c r="GL23" s="228"/>
      <c r="GM23" s="228"/>
      <c r="GN23" s="228"/>
      <c r="GO23" s="228"/>
      <c r="GP23" s="228"/>
      <c r="GQ23" s="228"/>
      <c r="GR23" s="228"/>
      <c r="GS23" s="228"/>
      <c r="GT23" s="228"/>
      <c r="GU23" s="228"/>
      <c r="GV23" s="228"/>
      <c r="GW23" s="228"/>
      <c r="GX23" s="228"/>
      <c r="GY23" s="228"/>
      <c r="GZ23" s="228"/>
      <c r="HA23" s="228"/>
      <c r="HB23" s="228"/>
      <c r="HC23" s="228"/>
      <c r="HD23" s="228"/>
      <c r="HE23" s="228"/>
      <c r="HF23" s="228"/>
      <c r="HG23" s="228"/>
      <c r="HH23" s="228"/>
      <c r="HI23" s="228"/>
      <c r="HJ23" s="228"/>
      <c r="HK23" s="228"/>
      <c r="HL23" s="228"/>
      <c r="HM23" s="228"/>
      <c r="HN23" s="228"/>
      <c r="HO23" s="228"/>
      <c r="HP23" s="228"/>
      <c r="HQ23" s="228"/>
      <c r="HR23" s="228"/>
      <c r="HS23" s="228"/>
      <c r="HT23" s="228"/>
      <c r="HU23" s="228"/>
      <c r="HV23" s="228"/>
      <c r="HW23" s="228"/>
      <c r="HX23" s="228"/>
      <c r="HY23" s="228"/>
      <c r="HZ23" s="228"/>
      <c r="IA23" s="228"/>
      <c r="IB23" s="228"/>
      <c r="IC23" s="228"/>
      <c r="ID23" s="228"/>
      <c r="IE23" s="228"/>
      <c r="IF23" s="228"/>
      <c r="IG23" s="228"/>
      <c r="IH23" s="228"/>
      <c r="II23" s="228"/>
      <c r="IJ23" s="228"/>
      <c r="IK23" s="228"/>
      <c r="IL23" s="228"/>
      <c r="IM23" s="228"/>
      <c r="IN23" s="228"/>
      <c r="IO23" s="228"/>
      <c r="IP23" s="228"/>
      <c r="IQ23" s="228"/>
      <c r="IR23" s="228"/>
      <c r="IS23" s="228"/>
      <c r="IT23" s="228"/>
      <c r="IU23" s="228"/>
      <c r="IV23" s="228"/>
      <c r="IW23" s="228"/>
      <c r="IX23" s="228"/>
      <c r="IY23" s="228"/>
      <c r="IZ23" s="228"/>
      <c r="JA23" s="228"/>
      <c r="JB23" s="228"/>
      <c r="JC23" s="228"/>
      <c r="JD23" s="228"/>
      <c r="JE23" s="228"/>
      <c r="JF23" s="228"/>
      <c r="JG23" s="228"/>
      <c r="JH23" s="228"/>
      <c r="JI23" s="228"/>
      <c r="JJ23" s="228"/>
      <c r="JK23" s="228"/>
      <c r="JL23" s="228"/>
      <c r="JM23" s="228"/>
      <c r="JN23" s="228"/>
      <c r="JO23" s="228"/>
      <c r="JP23" s="228"/>
      <c r="JQ23" s="228"/>
      <c r="JR23" s="228"/>
      <c r="JS23" s="228"/>
      <c r="JT23" s="228"/>
      <c r="JU23" s="228"/>
      <c r="JV23" s="228"/>
      <c r="JW23" s="228"/>
      <c r="JX23" s="228"/>
      <c r="JY23" s="228"/>
      <c r="JZ23" s="228"/>
      <c r="KA23" s="228"/>
      <c r="KB23" s="228"/>
      <c r="KC23" s="228"/>
      <c r="KD23" s="228"/>
      <c r="KE23" s="228"/>
      <c r="KF23" s="228"/>
      <c r="KG23" s="228"/>
      <c r="KH23" s="228"/>
      <c r="KI23" s="228"/>
      <c r="KJ23" s="228"/>
      <c r="KK23" s="228"/>
      <c r="KL23" s="228"/>
      <c r="KM23" s="228"/>
      <c r="KN23" s="228"/>
      <c r="KO23" s="228"/>
      <c r="KP23" s="228"/>
      <c r="KQ23" s="228"/>
      <c r="KR23" s="228"/>
      <c r="KS23" s="228"/>
      <c r="KT23" s="228"/>
      <c r="KU23" s="228"/>
      <c r="KV23" s="228"/>
      <c r="KW23" s="228"/>
      <c r="KX23" s="228"/>
      <c r="KY23" s="228"/>
      <c r="KZ23" s="228"/>
      <c r="LA23" s="228"/>
      <c r="LB23" s="228"/>
      <c r="LC23" s="228"/>
      <c r="LD23" s="228"/>
      <c r="LE23" s="228"/>
      <c r="LF23" s="228"/>
      <c r="LG23" s="228"/>
      <c r="LH23" s="228"/>
      <c r="LI23" s="228"/>
      <c r="LJ23" s="228"/>
      <c r="LK23" s="228"/>
      <c r="LL23" s="228"/>
      <c r="LM23" s="228"/>
      <c r="LN23" s="228"/>
      <c r="LO23" s="228"/>
      <c r="LP23" s="228"/>
      <c r="LQ23" s="228"/>
      <c r="LR23" s="228"/>
    </row>
    <row r="24" spans="1:330" ht="15" x14ac:dyDescent="0.25">
      <c r="A24" s="328">
        <f>SUM(A22-A23)</f>
        <v>379.30000000000109</v>
      </c>
      <c r="B24" s="1" t="s">
        <v>14</v>
      </c>
    </row>
    <row r="25" spans="1:330" ht="15" x14ac:dyDescent="0.25">
      <c r="A25" s="369">
        <f>SUM(A24)/5280</f>
        <v>7.1837121212121421E-2</v>
      </c>
      <c r="B25" s="370" t="s">
        <v>166</v>
      </c>
    </row>
    <row r="26" spans="1:330" ht="15" x14ac:dyDescent="0.25">
      <c r="A26" s="328"/>
      <c r="B26" s="1"/>
    </row>
    <row r="27" spans="1:330" ht="15" x14ac:dyDescent="0.25">
      <c r="A27"/>
      <c r="B27" s="1"/>
    </row>
    <row r="28" spans="1:330" ht="15" x14ac:dyDescent="0.25">
      <c r="A28"/>
      <c r="B28" s="1"/>
    </row>
    <row r="29" spans="1:330" ht="15" x14ac:dyDescent="0.25">
      <c r="A29" s="315" t="s">
        <v>40</v>
      </c>
      <c r="B29" s="329" t="s">
        <v>227</v>
      </c>
      <c r="C29" s="239"/>
      <c r="D29" s="239"/>
      <c r="E29" s="241"/>
      <c r="F29" s="237"/>
    </row>
    <row r="30" spans="1:330" ht="15" x14ac:dyDescent="0.25">
      <c r="A30">
        <v>33217.47</v>
      </c>
      <c r="B30" s="1" t="s">
        <v>227</v>
      </c>
      <c r="C30" s="239"/>
      <c r="D30" s="239"/>
      <c r="E30" s="241"/>
      <c r="F30" s="237"/>
    </row>
    <row r="31" spans="1:330" ht="15" x14ac:dyDescent="0.25">
      <c r="A31" s="22">
        <v>12396.78</v>
      </c>
      <c r="B31" s="1" t="s">
        <v>227</v>
      </c>
    </row>
    <row r="32" spans="1:330" ht="15" x14ac:dyDescent="0.25">
      <c r="A32">
        <f>SUM(A30-A31)</f>
        <v>20820.690000000002</v>
      </c>
      <c r="B32" t="s">
        <v>14</v>
      </c>
    </row>
    <row r="33" spans="1:330" ht="15" x14ac:dyDescent="0.25">
      <c r="A33" s="369">
        <f>SUM(A32)/5280</f>
        <v>3.9433125000000002</v>
      </c>
      <c r="B33" s="352" t="s">
        <v>166</v>
      </c>
    </row>
    <row r="34" spans="1:330" ht="15" x14ac:dyDescent="0.25">
      <c r="A34"/>
      <c r="B34"/>
    </row>
    <row r="35" spans="1:330" ht="15" x14ac:dyDescent="0.25">
      <c r="A35"/>
      <c r="B35"/>
    </row>
    <row r="38" spans="1:330" x14ac:dyDescent="0.2">
      <c r="A38" s="228" t="s">
        <v>227</v>
      </c>
      <c r="B38" s="368"/>
      <c r="C38" s="239"/>
      <c r="D38" s="239"/>
      <c r="E38" s="241"/>
      <c r="F38" s="237"/>
    </row>
    <row r="39" spans="1:330" x14ac:dyDescent="0.2">
      <c r="C39" s="239"/>
      <c r="D39" s="239"/>
      <c r="E39" s="241"/>
      <c r="F39" s="237"/>
    </row>
    <row r="40" spans="1:330" x14ac:dyDescent="0.2">
      <c r="C40" s="239"/>
      <c r="D40" s="239"/>
      <c r="E40" s="241"/>
      <c r="F40" s="237"/>
    </row>
    <row r="41" spans="1:330" s="250" customFormat="1" x14ac:dyDescent="0.2">
      <c r="A41" s="228"/>
      <c r="B41" s="228"/>
      <c r="C41" s="239"/>
      <c r="D41" s="239"/>
      <c r="E41" s="240"/>
      <c r="F41" s="237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  <c r="AA41" s="228"/>
      <c r="AB41" s="228"/>
      <c r="AC41" s="228"/>
      <c r="AD41" s="228"/>
      <c r="AE41" s="228"/>
      <c r="AF41" s="228"/>
      <c r="AG41" s="228"/>
      <c r="AH41" s="228"/>
      <c r="AI41" s="228"/>
      <c r="AJ41" s="228"/>
      <c r="AK41" s="228"/>
      <c r="AL41" s="228"/>
      <c r="AM41" s="228"/>
      <c r="AN41" s="228"/>
      <c r="AO41" s="228"/>
      <c r="AP41" s="228"/>
      <c r="AQ41" s="228"/>
      <c r="AR41" s="228"/>
      <c r="AS41" s="228"/>
      <c r="AT41" s="228"/>
      <c r="AU41" s="228"/>
      <c r="AV41" s="228"/>
      <c r="AW41" s="228"/>
      <c r="AX41" s="228"/>
      <c r="AY41" s="228"/>
      <c r="AZ41" s="228"/>
      <c r="BA41" s="228"/>
      <c r="BB41" s="228"/>
      <c r="BC41" s="228"/>
      <c r="BD41" s="228"/>
      <c r="BE41" s="228"/>
      <c r="BF41" s="228"/>
      <c r="BG41" s="228"/>
      <c r="BH41" s="228"/>
      <c r="BI41" s="228"/>
      <c r="BJ41" s="228"/>
      <c r="BK41" s="228"/>
      <c r="BL41" s="228"/>
      <c r="BM41" s="228"/>
      <c r="BN41" s="228"/>
      <c r="BO41" s="228"/>
      <c r="BP41" s="228"/>
      <c r="BQ41" s="228"/>
      <c r="BR41" s="228"/>
      <c r="BS41" s="228"/>
      <c r="BT41" s="228"/>
      <c r="BU41" s="228"/>
      <c r="BV41" s="228"/>
      <c r="BW41" s="228"/>
      <c r="BX41" s="228"/>
      <c r="BY41" s="228"/>
      <c r="BZ41" s="228"/>
      <c r="CA41" s="228"/>
      <c r="CB41" s="228"/>
      <c r="CC41" s="228"/>
      <c r="CD41" s="228"/>
      <c r="CE41" s="228"/>
      <c r="CF41" s="228"/>
      <c r="CG41" s="228"/>
      <c r="CH41" s="228"/>
      <c r="CI41" s="228"/>
      <c r="CJ41" s="228"/>
      <c r="CK41" s="228"/>
      <c r="CL41" s="228"/>
      <c r="CM41" s="228"/>
      <c r="CN41" s="228"/>
      <c r="CO41" s="228"/>
      <c r="CP41" s="228"/>
      <c r="CQ41" s="228"/>
      <c r="CR41" s="228"/>
      <c r="CS41" s="228"/>
      <c r="CT41" s="228"/>
      <c r="CU41" s="228"/>
      <c r="CV41" s="228"/>
      <c r="CW41" s="228"/>
      <c r="CX41" s="228"/>
      <c r="CY41" s="228"/>
      <c r="CZ41" s="228"/>
      <c r="DA41" s="228"/>
      <c r="DB41" s="228"/>
      <c r="DC41" s="228"/>
      <c r="DD41" s="228"/>
      <c r="DE41" s="228"/>
      <c r="DF41" s="228"/>
      <c r="DG41" s="228"/>
      <c r="DH41" s="228"/>
      <c r="DI41" s="228"/>
      <c r="DJ41" s="228"/>
      <c r="DK41" s="228"/>
      <c r="DL41" s="228"/>
      <c r="DM41" s="228"/>
      <c r="DN41" s="228"/>
      <c r="DO41" s="228"/>
      <c r="DP41" s="228"/>
      <c r="DQ41" s="228"/>
      <c r="DR41" s="228"/>
      <c r="DS41" s="228"/>
      <c r="DT41" s="228"/>
      <c r="DU41" s="228"/>
      <c r="DV41" s="228"/>
      <c r="DW41" s="228"/>
      <c r="DX41" s="228"/>
      <c r="DY41" s="228"/>
      <c r="DZ41" s="228"/>
      <c r="EA41" s="228"/>
      <c r="EB41" s="228"/>
      <c r="EC41" s="228"/>
      <c r="ED41" s="228"/>
      <c r="EE41" s="228"/>
      <c r="EF41" s="228"/>
      <c r="EG41" s="228"/>
      <c r="EH41" s="228"/>
      <c r="EI41" s="228"/>
      <c r="EJ41" s="228"/>
      <c r="EK41" s="228"/>
      <c r="EL41" s="228"/>
      <c r="EM41" s="228"/>
      <c r="EN41" s="228"/>
      <c r="EO41" s="228"/>
      <c r="EP41" s="228"/>
      <c r="EQ41" s="228"/>
      <c r="ER41" s="228"/>
      <c r="ES41" s="228"/>
      <c r="ET41" s="228"/>
      <c r="EU41" s="228"/>
      <c r="EV41" s="228"/>
      <c r="EW41" s="228"/>
      <c r="EX41" s="228"/>
      <c r="EY41" s="228"/>
      <c r="EZ41" s="228"/>
      <c r="FA41" s="228"/>
      <c r="FB41" s="228"/>
      <c r="FC41" s="228"/>
      <c r="FD41" s="228"/>
      <c r="FE41" s="228"/>
      <c r="FF41" s="228"/>
      <c r="FG41" s="228"/>
      <c r="FH41" s="228"/>
      <c r="FI41" s="228"/>
      <c r="FJ41" s="228"/>
      <c r="FK41" s="228"/>
      <c r="FL41" s="228"/>
      <c r="FM41" s="228"/>
      <c r="FN41" s="228"/>
      <c r="FO41" s="228"/>
      <c r="FP41" s="228"/>
      <c r="FQ41" s="228"/>
      <c r="FR41" s="228"/>
      <c r="FS41" s="228"/>
      <c r="FT41" s="228"/>
      <c r="FU41" s="228"/>
      <c r="FV41" s="228"/>
      <c r="FW41" s="228"/>
      <c r="FX41" s="228"/>
      <c r="FY41" s="228"/>
      <c r="FZ41" s="228"/>
      <c r="GA41" s="228"/>
      <c r="GB41" s="228"/>
      <c r="GC41" s="228"/>
      <c r="GD41" s="228"/>
      <c r="GE41" s="228"/>
      <c r="GF41" s="228"/>
      <c r="GG41" s="228"/>
      <c r="GH41" s="228"/>
      <c r="GI41" s="228"/>
      <c r="GJ41" s="228"/>
      <c r="GK41" s="228"/>
      <c r="GL41" s="228"/>
      <c r="GM41" s="228"/>
      <c r="GN41" s="228"/>
      <c r="GO41" s="228"/>
      <c r="GP41" s="228"/>
      <c r="GQ41" s="228"/>
      <c r="GR41" s="228"/>
      <c r="GS41" s="228"/>
      <c r="GT41" s="228"/>
      <c r="GU41" s="228"/>
      <c r="GV41" s="228"/>
      <c r="GW41" s="228"/>
      <c r="GX41" s="228"/>
      <c r="GY41" s="228"/>
      <c r="GZ41" s="228"/>
      <c r="HA41" s="228"/>
      <c r="HB41" s="228"/>
      <c r="HC41" s="228"/>
      <c r="HD41" s="228"/>
      <c r="HE41" s="228"/>
      <c r="HF41" s="228"/>
      <c r="HG41" s="228"/>
      <c r="HH41" s="228"/>
      <c r="HI41" s="228"/>
      <c r="HJ41" s="228"/>
      <c r="HK41" s="228"/>
      <c r="HL41" s="228"/>
      <c r="HM41" s="228"/>
      <c r="HN41" s="228"/>
      <c r="HO41" s="228"/>
      <c r="HP41" s="228"/>
      <c r="HQ41" s="228"/>
      <c r="HR41" s="228"/>
      <c r="HS41" s="228"/>
      <c r="HT41" s="228"/>
      <c r="HU41" s="228"/>
      <c r="HV41" s="228"/>
      <c r="HW41" s="228"/>
      <c r="HX41" s="228"/>
      <c r="HY41" s="228"/>
      <c r="HZ41" s="228"/>
      <c r="IA41" s="228"/>
      <c r="IB41" s="228"/>
      <c r="IC41" s="228"/>
      <c r="ID41" s="228"/>
      <c r="IE41" s="228"/>
      <c r="IF41" s="228"/>
      <c r="IG41" s="228"/>
      <c r="IH41" s="228"/>
      <c r="II41" s="228"/>
      <c r="IJ41" s="228"/>
      <c r="IK41" s="228"/>
      <c r="IL41" s="228"/>
      <c r="IM41" s="228"/>
      <c r="IN41" s="228"/>
      <c r="IO41" s="228"/>
      <c r="IP41" s="228"/>
      <c r="IQ41" s="228"/>
      <c r="IR41" s="228"/>
      <c r="IS41" s="228"/>
      <c r="IT41" s="228"/>
      <c r="IU41" s="228"/>
      <c r="IV41" s="228"/>
      <c r="IW41" s="228"/>
      <c r="IX41" s="228"/>
      <c r="IY41" s="228"/>
      <c r="IZ41" s="228"/>
      <c r="JA41" s="228"/>
      <c r="JB41" s="228"/>
      <c r="JC41" s="228"/>
      <c r="JD41" s="228"/>
      <c r="JE41" s="228"/>
      <c r="JF41" s="228"/>
      <c r="JG41" s="228"/>
      <c r="JH41" s="228"/>
      <c r="JI41" s="228"/>
      <c r="JJ41" s="228"/>
      <c r="JK41" s="228"/>
      <c r="JL41" s="228"/>
      <c r="JM41" s="228"/>
      <c r="JN41" s="228"/>
      <c r="JO41" s="228"/>
      <c r="JP41" s="228"/>
      <c r="JQ41" s="228"/>
      <c r="JR41" s="228"/>
      <c r="JS41" s="228"/>
      <c r="JT41" s="228"/>
      <c r="JU41" s="228"/>
      <c r="JV41" s="228"/>
      <c r="JW41" s="228"/>
      <c r="JX41" s="228"/>
      <c r="JY41" s="228"/>
      <c r="JZ41" s="228"/>
      <c r="KA41" s="228"/>
      <c r="KB41" s="228"/>
      <c r="KC41" s="228"/>
      <c r="KD41" s="228"/>
      <c r="KE41" s="228"/>
      <c r="KF41" s="228"/>
      <c r="KG41" s="228"/>
      <c r="KH41" s="228"/>
      <c r="KI41" s="228"/>
      <c r="KJ41" s="228"/>
      <c r="KK41" s="228"/>
      <c r="KL41" s="228"/>
      <c r="KM41" s="228"/>
      <c r="KN41" s="228"/>
      <c r="KO41" s="228"/>
      <c r="KP41" s="228"/>
      <c r="KQ41" s="228"/>
      <c r="KR41" s="228"/>
      <c r="KS41" s="228"/>
      <c r="KT41" s="228"/>
      <c r="KU41" s="228"/>
      <c r="KV41" s="228"/>
      <c r="KW41" s="228"/>
      <c r="KX41" s="228"/>
      <c r="KY41" s="228"/>
      <c r="KZ41" s="228"/>
      <c r="LA41" s="228"/>
      <c r="LB41" s="228"/>
      <c r="LC41" s="228"/>
      <c r="LD41" s="228"/>
      <c r="LE41" s="228"/>
      <c r="LF41" s="228"/>
      <c r="LG41" s="228"/>
      <c r="LH41" s="228"/>
      <c r="LI41" s="228"/>
      <c r="LJ41" s="228"/>
      <c r="LK41" s="228"/>
      <c r="LL41" s="228"/>
      <c r="LM41" s="228"/>
      <c r="LN41" s="228"/>
      <c r="LO41" s="228"/>
      <c r="LP41" s="228"/>
      <c r="LQ41" s="228"/>
      <c r="LR41" s="228"/>
    </row>
    <row r="42" spans="1:330" x14ac:dyDescent="0.2">
      <c r="C42" s="239"/>
      <c r="D42" s="239"/>
      <c r="E42" s="240"/>
      <c r="F42" s="237"/>
    </row>
    <row r="43" spans="1:330" x14ac:dyDescent="0.2">
      <c r="C43" s="239"/>
      <c r="D43" s="239"/>
      <c r="E43" s="240"/>
      <c r="F43" s="237"/>
    </row>
    <row r="44" spans="1:330" x14ac:dyDescent="0.2">
      <c r="C44" s="248"/>
      <c r="D44" s="248"/>
      <c r="E44" s="240"/>
    </row>
    <row r="45" spans="1:330" x14ac:dyDescent="0.2">
      <c r="C45" s="239"/>
      <c r="D45" s="239"/>
      <c r="E45" s="240"/>
      <c r="F45" s="237"/>
    </row>
    <row r="48" spans="1:330" x14ac:dyDescent="0.2">
      <c r="C48" s="239"/>
      <c r="D48" s="239"/>
      <c r="E48" s="240"/>
      <c r="F48" s="237"/>
    </row>
    <row r="49" spans="3:15" x14ac:dyDescent="0.2">
      <c r="C49" s="239"/>
      <c r="D49" s="239"/>
      <c r="E49" s="240"/>
      <c r="F49" s="237"/>
    </row>
    <row r="50" spans="3:15" x14ac:dyDescent="0.2">
      <c r="C50" s="239"/>
      <c r="D50" s="239"/>
      <c r="E50" s="240"/>
      <c r="F50" s="237"/>
    </row>
    <row r="51" spans="3:15" x14ac:dyDescent="0.2">
      <c r="C51" s="242"/>
      <c r="D51" s="242"/>
      <c r="E51" s="243"/>
      <c r="F51" s="237"/>
    </row>
    <row r="52" spans="3:15" x14ac:dyDescent="0.2">
      <c r="C52" s="228"/>
      <c r="D52" s="228"/>
      <c r="E52" s="243"/>
    </row>
    <row r="53" spans="3:15" x14ac:dyDescent="0.2">
      <c r="C53" s="228"/>
      <c r="D53" s="228"/>
      <c r="F53" s="243"/>
    </row>
    <row r="54" spans="3:15" x14ac:dyDescent="0.2">
      <c r="F54" s="243"/>
    </row>
    <row r="55" spans="3:15" x14ac:dyDescent="0.2">
      <c r="F55" s="243"/>
    </row>
    <row r="56" spans="3:15" s="222" customFormat="1" x14ac:dyDescent="0.2">
      <c r="E56" s="228"/>
      <c r="F56" s="243"/>
      <c r="G56" s="228"/>
      <c r="H56" s="228"/>
      <c r="I56" s="228"/>
      <c r="J56" s="228"/>
      <c r="K56" s="228"/>
      <c r="L56" s="228"/>
      <c r="M56" s="228"/>
      <c r="N56" s="228"/>
      <c r="O56" s="228"/>
    </row>
    <row r="57" spans="3:15" s="222" customFormat="1" x14ac:dyDescent="0.2">
      <c r="E57" s="228"/>
      <c r="F57" s="243"/>
      <c r="G57" s="228"/>
      <c r="H57" s="228"/>
      <c r="I57" s="228"/>
      <c r="J57" s="228"/>
      <c r="K57" s="228"/>
      <c r="L57" s="228"/>
      <c r="M57" s="228"/>
      <c r="N57" s="228"/>
      <c r="O57" s="228"/>
    </row>
    <row r="58" spans="3:15" s="222" customFormat="1" x14ac:dyDescent="0.2">
      <c r="E58" s="228"/>
      <c r="F58" s="243"/>
      <c r="G58" s="228"/>
      <c r="H58" s="228"/>
      <c r="I58" s="228"/>
      <c r="J58" s="228"/>
      <c r="K58" s="228"/>
      <c r="L58" s="228"/>
      <c r="M58" s="228"/>
      <c r="N58" s="228"/>
      <c r="O58" s="228"/>
    </row>
    <row r="59" spans="3:15" s="222" customFormat="1" x14ac:dyDescent="0.2">
      <c r="C59" s="228"/>
      <c r="D59" s="228"/>
      <c r="E59" s="228"/>
      <c r="F59" s="243"/>
      <c r="G59" s="228"/>
      <c r="H59" s="228"/>
      <c r="I59" s="228"/>
      <c r="J59" s="228"/>
      <c r="K59" s="228"/>
      <c r="L59" s="228"/>
      <c r="M59" s="228"/>
      <c r="N59" s="228"/>
      <c r="O59" s="228"/>
    </row>
    <row r="60" spans="3:15" s="222" customFormat="1" x14ac:dyDescent="0.2">
      <c r="F60" s="246"/>
      <c r="G60" s="228"/>
      <c r="H60" s="228"/>
      <c r="I60" s="228"/>
      <c r="J60" s="228"/>
      <c r="K60" s="228"/>
      <c r="L60" s="228"/>
      <c r="M60" s="228"/>
      <c r="N60" s="228"/>
      <c r="O60" s="228"/>
    </row>
    <row r="61" spans="3:15" s="222" customFormat="1" x14ac:dyDescent="0.2">
      <c r="C61" s="228"/>
      <c r="D61" s="228"/>
      <c r="E61" s="228"/>
      <c r="F61" s="228"/>
      <c r="G61" s="228"/>
      <c r="H61" s="228"/>
      <c r="I61" s="228"/>
      <c r="J61" s="228"/>
      <c r="K61" s="228"/>
      <c r="L61" s="228"/>
      <c r="M61" s="228"/>
      <c r="N61" s="228"/>
      <c r="O61" s="228"/>
    </row>
    <row r="62" spans="3:15" s="222" customFormat="1" x14ac:dyDescent="0.2">
      <c r="C62" s="228"/>
      <c r="D62" s="228"/>
      <c r="E62" s="228"/>
      <c r="F62" s="228"/>
      <c r="G62" s="228"/>
      <c r="H62" s="228"/>
      <c r="I62" s="228"/>
      <c r="J62" s="228"/>
      <c r="K62" s="228"/>
      <c r="L62" s="228"/>
      <c r="M62" s="228"/>
      <c r="N62" s="228"/>
      <c r="O62" s="228"/>
    </row>
    <row r="63" spans="3:15" s="222" customFormat="1" x14ac:dyDescent="0.2">
      <c r="C63" s="228"/>
      <c r="D63" s="228"/>
      <c r="E63" s="228"/>
      <c r="F63" s="228"/>
      <c r="G63" s="228"/>
      <c r="H63" s="228"/>
      <c r="I63" s="228"/>
      <c r="J63" s="228"/>
      <c r="K63" s="228"/>
      <c r="L63" s="228"/>
      <c r="M63" s="228"/>
      <c r="N63" s="228"/>
      <c r="O63" s="228"/>
    </row>
    <row r="64" spans="3:15" s="222" customFormat="1" x14ac:dyDescent="0.2">
      <c r="C64" s="228"/>
      <c r="D64" s="228"/>
      <c r="E64" s="228"/>
      <c r="F64" s="228"/>
      <c r="G64" s="228"/>
      <c r="H64" s="228"/>
      <c r="I64" s="228"/>
      <c r="J64" s="228"/>
      <c r="K64" s="228"/>
      <c r="L64" s="228"/>
      <c r="M64" s="228"/>
      <c r="N64" s="228"/>
      <c r="O64" s="228"/>
    </row>
    <row r="65" spans="3:15" s="222" customFormat="1" x14ac:dyDescent="0.2">
      <c r="C65" s="228"/>
      <c r="D65" s="228"/>
      <c r="E65" s="228"/>
      <c r="F65" s="228"/>
      <c r="G65" s="228"/>
      <c r="H65" s="228"/>
      <c r="I65" s="228"/>
      <c r="J65" s="228"/>
      <c r="K65" s="228"/>
      <c r="L65" s="228"/>
      <c r="M65" s="228"/>
      <c r="N65" s="228"/>
      <c r="O65" s="228"/>
    </row>
    <row r="66" spans="3:15" s="222" customFormat="1" x14ac:dyDescent="0.2">
      <c r="C66" s="228"/>
      <c r="D66" s="228"/>
      <c r="E66" s="228"/>
      <c r="F66" s="228"/>
      <c r="G66" s="228"/>
      <c r="H66" s="228"/>
      <c r="I66" s="228"/>
      <c r="J66" s="228"/>
      <c r="K66" s="228"/>
      <c r="L66" s="228"/>
      <c r="M66" s="228"/>
      <c r="N66" s="228"/>
      <c r="O66" s="228"/>
    </row>
    <row r="67" spans="3:15" s="222" customFormat="1" x14ac:dyDescent="0.2">
      <c r="C67" s="228"/>
      <c r="D67" s="228"/>
      <c r="E67" s="228"/>
      <c r="F67" s="228"/>
      <c r="G67" s="228"/>
      <c r="H67" s="228"/>
      <c r="I67" s="228"/>
      <c r="J67" s="228"/>
      <c r="K67" s="228"/>
      <c r="L67" s="228"/>
      <c r="M67" s="228"/>
      <c r="N67" s="228"/>
      <c r="O67" s="228"/>
    </row>
    <row r="68" spans="3:15" s="222" customFormat="1" x14ac:dyDescent="0.2">
      <c r="C68" s="228"/>
      <c r="D68" s="228"/>
      <c r="E68" s="228"/>
      <c r="F68" s="228"/>
      <c r="G68" s="228"/>
      <c r="H68" s="228"/>
      <c r="I68" s="228"/>
      <c r="J68" s="228"/>
      <c r="K68" s="228"/>
      <c r="L68" s="228"/>
      <c r="M68" s="228"/>
      <c r="N68" s="228"/>
      <c r="O68" s="228"/>
    </row>
    <row r="69" spans="3:15" s="222" customFormat="1" x14ac:dyDescent="0.2">
      <c r="C69" s="228"/>
      <c r="D69" s="228"/>
      <c r="E69" s="228"/>
      <c r="F69" s="228"/>
      <c r="G69" s="228"/>
      <c r="H69" s="228"/>
      <c r="I69" s="228"/>
      <c r="J69" s="228"/>
      <c r="K69" s="228"/>
      <c r="L69" s="228"/>
      <c r="M69" s="228"/>
      <c r="N69" s="228"/>
      <c r="O69" s="228"/>
    </row>
    <row r="70" spans="3:15" s="222" customFormat="1" x14ac:dyDescent="0.2">
      <c r="C70" s="228"/>
      <c r="D70" s="228"/>
      <c r="E70" s="228"/>
      <c r="F70" s="228"/>
      <c r="G70" s="228"/>
      <c r="H70" s="228"/>
      <c r="I70" s="228"/>
      <c r="J70" s="228"/>
      <c r="K70" s="228"/>
      <c r="L70" s="228"/>
      <c r="M70" s="228"/>
      <c r="N70" s="228"/>
      <c r="O70" s="228"/>
    </row>
    <row r="71" spans="3:15" s="222" customFormat="1" x14ac:dyDescent="0.2">
      <c r="C71" s="228"/>
      <c r="D71" s="228"/>
      <c r="E71" s="228"/>
      <c r="F71" s="228"/>
      <c r="G71" s="228"/>
      <c r="H71" s="228"/>
      <c r="I71" s="228"/>
      <c r="J71" s="228"/>
      <c r="K71" s="228"/>
      <c r="L71" s="228"/>
      <c r="M71" s="228"/>
      <c r="N71" s="228"/>
      <c r="O71" s="228"/>
    </row>
    <row r="72" spans="3:15" s="222" customFormat="1" x14ac:dyDescent="0.2">
      <c r="C72" s="251"/>
      <c r="D72" s="251"/>
      <c r="E72" s="243"/>
      <c r="F72" s="243"/>
      <c r="G72" s="228"/>
      <c r="H72" s="228"/>
      <c r="I72" s="228"/>
      <c r="J72" s="228"/>
      <c r="K72" s="228"/>
      <c r="L72" s="228"/>
      <c r="M72" s="228"/>
      <c r="N72" s="228"/>
      <c r="O72" s="228"/>
    </row>
    <row r="73" spans="3:15" s="222" customFormat="1" x14ac:dyDescent="0.2">
      <c r="C73" s="251"/>
      <c r="D73" s="251"/>
      <c r="E73" s="243"/>
      <c r="F73" s="243"/>
      <c r="G73" s="228"/>
      <c r="H73" s="228"/>
      <c r="I73" s="228"/>
      <c r="J73" s="228"/>
      <c r="K73" s="228"/>
      <c r="L73" s="228"/>
      <c r="M73" s="228"/>
      <c r="N73" s="228"/>
      <c r="O73" s="228"/>
    </row>
    <row r="74" spans="3:15" s="222" customFormat="1" x14ac:dyDescent="0.2">
      <c r="C74" s="251"/>
      <c r="D74" s="251"/>
      <c r="E74" s="243"/>
      <c r="F74" s="243"/>
      <c r="G74" s="228"/>
      <c r="H74" s="228"/>
      <c r="I74" s="228"/>
      <c r="J74" s="228"/>
      <c r="K74" s="228"/>
      <c r="L74" s="228"/>
      <c r="M74" s="228"/>
      <c r="N74" s="228"/>
      <c r="O74" s="228"/>
    </row>
    <row r="75" spans="3:15" s="222" customFormat="1" x14ac:dyDescent="0.2">
      <c r="C75" s="251"/>
      <c r="D75" s="251"/>
      <c r="E75" s="243"/>
      <c r="F75" s="243"/>
      <c r="G75" s="228"/>
      <c r="H75" s="228"/>
      <c r="I75" s="228"/>
      <c r="J75" s="228"/>
      <c r="K75" s="228"/>
      <c r="L75" s="228"/>
      <c r="M75" s="228"/>
      <c r="N75" s="228"/>
      <c r="O75" s="228"/>
    </row>
    <row r="76" spans="3:15" s="222" customFormat="1" x14ac:dyDescent="0.2">
      <c r="C76" s="251"/>
      <c r="D76" s="251"/>
      <c r="E76" s="243"/>
      <c r="F76" s="243"/>
      <c r="G76" s="228"/>
      <c r="H76" s="228"/>
      <c r="I76" s="228"/>
      <c r="J76" s="228"/>
      <c r="K76" s="228"/>
      <c r="L76" s="228"/>
      <c r="M76" s="228"/>
      <c r="N76" s="228"/>
      <c r="O76" s="228"/>
    </row>
    <row r="77" spans="3:15" s="222" customFormat="1" x14ac:dyDescent="0.2">
      <c r="C77" s="251"/>
      <c r="D77" s="251"/>
      <c r="E77" s="243"/>
      <c r="F77" s="243"/>
      <c r="G77" s="228"/>
      <c r="H77" s="228"/>
      <c r="I77" s="228"/>
      <c r="J77" s="228"/>
      <c r="K77" s="228"/>
      <c r="L77" s="228"/>
      <c r="M77" s="228"/>
      <c r="N77" s="228"/>
      <c r="O77" s="228"/>
    </row>
    <row r="78" spans="3:15" s="222" customFormat="1" x14ac:dyDescent="0.2">
      <c r="C78" s="251"/>
      <c r="D78" s="251"/>
      <c r="E78" s="243"/>
      <c r="F78" s="243"/>
      <c r="G78" s="228"/>
      <c r="H78" s="228"/>
      <c r="I78" s="228"/>
      <c r="J78" s="228"/>
      <c r="K78" s="228"/>
      <c r="L78" s="228"/>
      <c r="M78" s="228"/>
      <c r="N78" s="228"/>
      <c r="O78" s="228"/>
    </row>
    <row r="79" spans="3:15" s="222" customFormat="1" x14ac:dyDescent="0.2">
      <c r="C79" s="252"/>
      <c r="D79" s="252"/>
      <c r="E79" s="253"/>
      <c r="F79" s="254"/>
      <c r="G79" s="228"/>
      <c r="H79" s="228"/>
      <c r="I79" s="228"/>
      <c r="J79" s="228"/>
      <c r="K79" s="228"/>
      <c r="L79" s="228"/>
      <c r="M79" s="228"/>
      <c r="N79" s="228"/>
      <c r="O79" s="228"/>
    </row>
    <row r="80" spans="3:15" s="222" customFormat="1" x14ac:dyDescent="0.2">
      <c r="C80" s="252"/>
      <c r="D80" s="252"/>
      <c r="E80" s="253"/>
      <c r="F80" s="254"/>
      <c r="G80" s="228"/>
      <c r="H80" s="228"/>
      <c r="I80" s="228"/>
      <c r="J80" s="228"/>
      <c r="K80" s="228"/>
      <c r="L80" s="228"/>
      <c r="M80" s="228"/>
      <c r="N80" s="228"/>
      <c r="O80" s="228"/>
    </row>
    <row r="81" spans="3:15" s="222" customFormat="1" x14ac:dyDescent="0.2">
      <c r="C81" s="252"/>
      <c r="D81" s="252"/>
      <c r="E81" s="253"/>
      <c r="F81" s="254"/>
      <c r="G81" s="228"/>
      <c r="H81" s="228"/>
      <c r="I81" s="228"/>
      <c r="J81" s="228"/>
      <c r="K81" s="228"/>
      <c r="L81" s="228"/>
      <c r="M81" s="228"/>
      <c r="N81" s="228"/>
      <c r="O81" s="228"/>
    </row>
    <row r="82" spans="3:15" s="222" customFormat="1" x14ac:dyDescent="0.2">
      <c r="C82" s="252"/>
      <c r="D82" s="252"/>
      <c r="E82" s="253"/>
      <c r="F82" s="254"/>
      <c r="G82" s="228"/>
      <c r="H82" s="228"/>
      <c r="I82" s="228"/>
      <c r="J82" s="228"/>
      <c r="K82" s="228"/>
      <c r="L82" s="228"/>
      <c r="M82" s="228"/>
      <c r="N82" s="228"/>
      <c r="O82" s="228"/>
    </row>
    <row r="83" spans="3:15" s="222" customFormat="1" x14ac:dyDescent="0.2">
      <c r="C83" s="228"/>
      <c r="D83" s="228"/>
      <c r="E83" s="243"/>
      <c r="F83" s="243"/>
      <c r="G83" s="228"/>
      <c r="H83" s="228"/>
      <c r="I83" s="228"/>
      <c r="J83" s="228"/>
      <c r="K83" s="228"/>
      <c r="L83" s="228"/>
      <c r="M83" s="228"/>
      <c r="N83" s="228"/>
      <c r="O83" s="228"/>
    </row>
    <row r="84" spans="3:15" s="222" customFormat="1" x14ac:dyDescent="0.2">
      <c r="C84" s="228"/>
      <c r="D84" s="228"/>
      <c r="E84" s="238"/>
      <c r="F84" s="243"/>
      <c r="G84" s="228"/>
      <c r="H84" s="228"/>
      <c r="I84" s="228"/>
      <c r="J84" s="228"/>
      <c r="K84" s="228"/>
      <c r="L84" s="228"/>
      <c r="M84" s="228"/>
      <c r="N84" s="228"/>
      <c r="O84" s="228"/>
    </row>
    <row r="85" spans="3:15" s="222" customFormat="1" x14ac:dyDescent="0.2">
      <c r="C85" s="228"/>
      <c r="D85" s="228"/>
      <c r="E85" s="228"/>
      <c r="F85" s="243"/>
      <c r="G85" s="228"/>
      <c r="H85" s="228"/>
      <c r="I85" s="228"/>
      <c r="J85" s="228"/>
      <c r="K85" s="228"/>
      <c r="L85" s="228"/>
      <c r="M85" s="228"/>
      <c r="N85" s="228"/>
      <c r="O85" s="228"/>
    </row>
    <row r="86" spans="3:15" s="222" customFormat="1" x14ac:dyDescent="0.2">
      <c r="C86" s="244"/>
      <c r="D86" s="244"/>
      <c r="E86" s="228"/>
      <c r="F86" s="243"/>
      <c r="G86" s="228"/>
      <c r="H86" s="228"/>
      <c r="I86" s="228"/>
      <c r="J86" s="228"/>
      <c r="K86" s="228"/>
      <c r="L86" s="228"/>
      <c r="M86" s="228"/>
      <c r="N86" s="228"/>
      <c r="O86" s="228"/>
    </row>
    <row r="87" spans="3:15" s="222" customFormat="1" x14ac:dyDescent="0.2">
      <c r="C87" s="245"/>
      <c r="D87" s="245"/>
      <c r="E87" s="228"/>
      <c r="F87" s="243"/>
      <c r="G87" s="228"/>
      <c r="H87" s="228"/>
      <c r="I87" s="228"/>
      <c r="J87" s="228"/>
      <c r="K87" s="228"/>
      <c r="L87" s="228"/>
      <c r="M87" s="228"/>
      <c r="N87" s="228"/>
      <c r="O87" s="228"/>
    </row>
    <row r="88" spans="3:15" s="222" customFormat="1" x14ac:dyDescent="0.2">
      <c r="C88" s="245"/>
      <c r="D88" s="245"/>
      <c r="E88" s="228"/>
      <c r="F88" s="243"/>
      <c r="G88" s="228"/>
      <c r="H88" s="228"/>
      <c r="I88" s="228"/>
      <c r="J88" s="228"/>
      <c r="K88" s="228"/>
      <c r="L88" s="228"/>
      <c r="M88" s="228"/>
      <c r="N88" s="228"/>
      <c r="O88" s="228"/>
    </row>
    <row r="89" spans="3:15" s="222" customFormat="1" x14ac:dyDescent="0.2">
      <c r="C89" s="245"/>
      <c r="D89" s="245"/>
      <c r="E89" s="228"/>
      <c r="F89" s="243"/>
      <c r="G89" s="228"/>
      <c r="H89" s="228"/>
      <c r="I89" s="228"/>
      <c r="J89" s="228"/>
      <c r="K89" s="228"/>
      <c r="L89" s="228"/>
      <c r="M89" s="228"/>
      <c r="N89" s="228"/>
      <c r="O89" s="228"/>
    </row>
    <row r="90" spans="3:15" s="222" customFormat="1" x14ac:dyDescent="0.2">
      <c r="C90" s="245"/>
      <c r="D90" s="245"/>
      <c r="E90" s="228"/>
      <c r="F90" s="243"/>
      <c r="G90" s="228"/>
      <c r="H90" s="228"/>
      <c r="I90" s="228"/>
      <c r="J90" s="228"/>
      <c r="K90" s="228"/>
      <c r="L90" s="228"/>
      <c r="M90" s="228"/>
      <c r="N90" s="228"/>
      <c r="O90" s="228"/>
    </row>
    <row r="91" spans="3:15" s="222" customFormat="1" x14ac:dyDescent="0.2">
      <c r="C91" s="228"/>
      <c r="D91" s="228"/>
      <c r="E91" s="228"/>
      <c r="F91" s="243"/>
      <c r="G91" s="228"/>
      <c r="H91" s="228"/>
      <c r="I91" s="228"/>
      <c r="J91" s="228"/>
      <c r="K91" s="228"/>
      <c r="L91" s="228"/>
      <c r="M91" s="228"/>
      <c r="N91" s="228"/>
      <c r="O91" s="228"/>
    </row>
    <row r="92" spans="3:15" s="222" customFormat="1" x14ac:dyDescent="0.2">
      <c r="C92" s="246"/>
      <c r="D92" s="246"/>
      <c r="E92" s="246"/>
      <c r="F92" s="246"/>
      <c r="G92" s="228"/>
      <c r="H92" s="228"/>
      <c r="I92" s="228"/>
      <c r="J92" s="228"/>
      <c r="K92" s="228"/>
      <c r="L92" s="228"/>
      <c r="M92" s="228"/>
      <c r="N92" s="228"/>
      <c r="O92" s="228"/>
    </row>
    <row r="93" spans="3:15" s="222" customFormat="1" x14ac:dyDescent="0.2">
      <c r="E93" s="228"/>
      <c r="F93" s="228"/>
      <c r="G93" s="228"/>
      <c r="H93" s="228"/>
      <c r="I93" s="228"/>
      <c r="J93" s="228"/>
      <c r="K93" s="228"/>
      <c r="L93" s="228"/>
      <c r="M93" s="228"/>
      <c r="N93" s="228"/>
      <c r="O93" s="228"/>
    </row>
    <row r="94" spans="3:15" s="222" customFormat="1" x14ac:dyDescent="0.2">
      <c r="E94" s="228"/>
      <c r="F94" s="228"/>
      <c r="G94" s="228"/>
      <c r="H94" s="228"/>
      <c r="I94" s="228"/>
      <c r="J94" s="228"/>
      <c r="K94" s="228"/>
      <c r="L94" s="228"/>
      <c r="M94" s="228"/>
      <c r="N94" s="228"/>
      <c r="O94" s="228"/>
    </row>
    <row r="95" spans="3:15" s="222" customFormat="1" x14ac:dyDescent="0.2">
      <c r="E95" s="228"/>
      <c r="F95" s="228"/>
      <c r="G95" s="228"/>
      <c r="H95" s="228"/>
      <c r="I95" s="228"/>
      <c r="J95" s="228"/>
      <c r="K95" s="228"/>
      <c r="L95" s="228"/>
      <c r="M95" s="228"/>
      <c r="N95" s="228"/>
      <c r="O95" s="228"/>
    </row>
    <row r="96" spans="3:15" s="222" customFormat="1" x14ac:dyDescent="0.2">
      <c r="E96" s="228"/>
      <c r="F96" s="228"/>
      <c r="G96" s="228"/>
      <c r="H96" s="228"/>
      <c r="I96" s="228"/>
      <c r="J96" s="228"/>
      <c r="K96" s="228"/>
      <c r="L96" s="228"/>
      <c r="M96" s="228"/>
      <c r="N96" s="228"/>
      <c r="O96" s="228"/>
    </row>
    <row r="97" spans="3:15" s="222" customFormat="1" x14ac:dyDescent="0.2">
      <c r="E97" s="228"/>
      <c r="F97" s="228"/>
      <c r="G97" s="228"/>
      <c r="H97" s="228"/>
      <c r="I97" s="228"/>
      <c r="J97" s="228"/>
      <c r="K97" s="228"/>
      <c r="L97" s="228"/>
      <c r="M97" s="228"/>
      <c r="N97" s="228"/>
      <c r="O97" s="228"/>
    </row>
    <row r="98" spans="3:15" s="222" customFormat="1" x14ac:dyDescent="0.2">
      <c r="E98" s="228"/>
      <c r="F98" s="228"/>
      <c r="G98" s="228"/>
      <c r="H98" s="228"/>
      <c r="I98" s="228"/>
      <c r="J98" s="228"/>
      <c r="K98" s="228"/>
      <c r="L98" s="228"/>
      <c r="M98" s="228"/>
      <c r="N98" s="228"/>
      <c r="O98" s="228"/>
    </row>
    <row r="99" spans="3:15" s="222" customFormat="1" x14ac:dyDescent="0.2">
      <c r="E99" s="228"/>
      <c r="F99" s="228"/>
      <c r="G99" s="228"/>
      <c r="H99" s="228"/>
      <c r="I99" s="228"/>
      <c r="J99" s="228"/>
      <c r="K99" s="228"/>
      <c r="L99" s="228"/>
      <c r="M99" s="228"/>
      <c r="N99" s="228"/>
      <c r="O99" s="228"/>
    </row>
    <row r="100" spans="3:15" s="222" customFormat="1" x14ac:dyDescent="0.2">
      <c r="E100" s="228"/>
      <c r="F100" s="228"/>
      <c r="G100" s="228"/>
      <c r="H100" s="228"/>
      <c r="I100" s="228"/>
      <c r="J100" s="228"/>
      <c r="K100" s="228"/>
      <c r="L100" s="228"/>
      <c r="M100" s="228"/>
      <c r="N100" s="228"/>
      <c r="O100" s="228"/>
    </row>
    <row r="101" spans="3:15" s="222" customFormat="1" x14ac:dyDescent="0.2">
      <c r="E101" s="228"/>
      <c r="F101" s="228"/>
      <c r="G101" s="228"/>
      <c r="H101" s="228"/>
      <c r="I101" s="228"/>
      <c r="J101" s="228"/>
      <c r="K101" s="228"/>
      <c r="L101" s="228"/>
      <c r="M101" s="228"/>
      <c r="N101" s="228"/>
      <c r="O101" s="228"/>
    </row>
    <row r="102" spans="3:15" s="222" customFormat="1" x14ac:dyDescent="0.2">
      <c r="E102" s="228"/>
      <c r="F102" s="228"/>
      <c r="G102" s="228"/>
      <c r="H102" s="228"/>
      <c r="I102" s="228"/>
      <c r="J102" s="228"/>
      <c r="K102" s="228"/>
      <c r="L102" s="228"/>
      <c r="M102" s="228"/>
      <c r="N102" s="228"/>
      <c r="O102" s="228"/>
    </row>
    <row r="103" spans="3:15" s="222" customFormat="1" x14ac:dyDescent="0.2">
      <c r="E103" s="228"/>
      <c r="F103" s="228"/>
      <c r="G103" s="228"/>
      <c r="H103" s="228"/>
      <c r="I103" s="228"/>
      <c r="J103" s="228"/>
      <c r="K103" s="228"/>
      <c r="L103" s="228"/>
      <c r="M103" s="228"/>
      <c r="N103" s="228"/>
      <c r="O103" s="228"/>
    </row>
    <row r="106" spans="3:15" x14ac:dyDescent="0.2">
      <c r="C106" s="255"/>
      <c r="D106" s="255"/>
    </row>
  </sheetData>
  <mergeCells count="1">
    <mergeCell ref="A2:D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5A31B-4555-47B1-B41E-B548A874F289}">
  <sheetPr>
    <tabColor rgb="FFFFC000"/>
  </sheetPr>
  <dimension ref="A1:LQ106"/>
  <sheetViews>
    <sheetView showGridLines="0" workbookViewId="0">
      <selection activeCell="E36" sqref="E36"/>
    </sheetView>
  </sheetViews>
  <sheetFormatPr defaultRowHeight="12" x14ac:dyDescent="0.2"/>
  <cols>
    <col min="1" max="1" width="9.5703125" style="228" bestFit="1" customWidth="1"/>
    <col min="2" max="2" width="16" style="222" customWidth="1"/>
    <col min="3" max="3" width="17.42578125" style="222" customWidth="1"/>
    <col min="4" max="4" width="10.7109375" style="228" bestFit="1" customWidth="1"/>
    <col min="5" max="5" width="7" style="228" customWidth="1"/>
    <col min="6" max="6" width="6.7109375" style="228" bestFit="1" customWidth="1"/>
    <col min="7" max="11" width="8.42578125" style="228" bestFit="1" customWidth="1"/>
    <col min="12" max="14" width="14" style="228" customWidth="1"/>
    <col min="15" max="208" width="9.140625" style="228"/>
    <col min="209" max="210" width="8.7109375" style="228" customWidth="1"/>
    <col min="211" max="211" width="4.7109375" style="228" customWidth="1"/>
    <col min="212" max="212" width="10.7109375" style="228" customWidth="1"/>
    <col min="213" max="213" width="5.7109375" style="228" customWidth="1"/>
    <col min="214" max="214" width="3.28515625" style="228" bestFit="1" customWidth="1"/>
    <col min="215" max="215" width="8.7109375" style="228" customWidth="1"/>
    <col min="216" max="216" width="4.7109375" style="228" customWidth="1"/>
    <col min="217" max="217" width="10.7109375" style="228" customWidth="1"/>
    <col min="218" max="218" width="5.7109375" style="228" customWidth="1"/>
    <col min="219" max="219" width="3.28515625" style="228" customWidth="1"/>
    <col min="220" max="220" width="8.42578125" style="228" bestFit="1" customWidth="1"/>
    <col min="221" max="221" width="8.85546875" style="228" customWidth="1"/>
    <col min="222" max="232" width="10.7109375" style="228" customWidth="1"/>
    <col min="233" max="233" width="13.28515625" style="228" customWidth="1"/>
    <col min="234" max="234" width="9.28515625" style="228" bestFit="1" customWidth="1"/>
    <col min="235" max="235" width="15.7109375" style="228" customWidth="1"/>
    <col min="236" max="236" width="7" style="228" customWidth="1"/>
    <col min="237" max="238" width="13" style="228" customWidth="1"/>
    <col min="239" max="245" width="18.7109375" style="228" customWidth="1"/>
    <col min="246" max="246" width="21.7109375" style="228" bestFit="1" customWidth="1"/>
    <col min="247" max="248" width="8.7109375" style="228" customWidth="1"/>
    <col min="249" max="249" width="18.42578125" style="228" customWidth="1"/>
    <col min="250" max="255" width="15" style="228" customWidth="1"/>
    <col min="256" max="256" width="21.7109375" style="228" bestFit="1" customWidth="1"/>
    <col min="257" max="257" width="7.28515625" style="228" customWidth="1"/>
    <col min="258" max="258" width="14.85546875" style="228" customWidth="1"/>
    <col min="259" max="259" width="15.140625" style="228" bestFit="1" customWidth="1"/>
    <col min="260" max="260" width="25.42578125" style="228" customWidth="1"/>
    <col min="261" max="261" width="5.85546875" style="228" bestFit="1" customWidth="1"/>
    <col min="262" max="262" width="6.7109375" style="228" bestFit="1" customWidth="1"/>
    <col min="263" max="267" width="8.42578125" style="228" bestFit="1" customWidth="1"/>
    <col min="268" max="270" width="14" style="228" customWidth="1"/>
    <col min="271" max="464" width="9.140625" style="228"/>
    <col min="465" max="466" width="8.7109375" style="228" customWidth="1"/>
    <col min="467" max="467" width="4.7109375" style="228" customWidth="1"/>
    <col min="468" max="468" width="10.7109375" style="228" customWidth="1"/>
    <col min="469" max="469" width="5.7109375" style="228" customWidth="1"/>
    <col min="470" max="470" width="3.28515625" style="228" bestFit="1" customWidth="1"/>
    <col min="471" max="471" width="8.7109375" style="228" customWidth="1"/>
    <col min="472" max="472" width="4.7109375" style="228" customWidth="1"/>
    <col min="473" max="473" width="10.7109375" style="228" customWidth="1"/>
    <col min="474" max="474" width="5.7109375" style="228" customWidth="1"/>
    <col min="475" max="475" width="3.28515625" style="228" customWidth="1"/>
    <col min="476" max="476" width="8.42578125" style="228" bestFit="1" customWidth="1"/>
    <col min="477" max="477" width="8.85546875" style="228" customWidth="1"/>
    <col min="478" max="488" width="10.7109375" style="228" customWidth="1"/>
    <col min="489" max="489" width="13.28515625" style="228" customWidth="1"/>
    <col min="490" max="490" width="9.28515625" style="228" bestFit="1" customWidth="1"/>
    <col min="491" max="491" width="15.7109375" style="228" customWidth="1"/>
    <col min="492" max="492" width="7" style="228" customWidth="1"/>
    <col min="493" max="494" width="13" style="228" customWidth="1"/>
    <col min="495" max="501" width="18.7109375" style="228" customWidth="1"/>
    <col min="502" max="502" width="21.7109375" style="228" bestFit="1" customWidth="1"/>
    <col min="503" max="504" width="8.7109375" style="228" customWidth="1"/>
    <col min="505" max="505" width="18.42578125" style="228" customWidth="1"/>
    <col min="506" max="511" width="15" style="228" customWidth="1"/>
    <col min="512" max="512" width="21.7109375" style="228" bestFit="1" customWidth="1"/>
    <col min="513" max="513" width="7.28515625" style="228" customWidth="1"/>
    <col min="514" max="514" width="14.85546875" style="228" customWidth="1"/>
    <col min="515" max="515" width="15.140625" style="228" bestFit="1" customWidth="1"/>
    <col min="516" max="516" width="25.42578125" style="228" customWidth="1"/>
    <col min="517" max="517" width="5.85546875" style="228" bestFit="1" customWidth="1"/>
    <col min="518" max="518" width="6.7109375" style="228" bestFit="1" customWidth="1"/>
    <col min="519" max="523" width="8.42578125" style="228" bestFit="1" customWidth="1"/>
    <col min="524" max="526" width="14" style="228" customWidth="1"/>
    <col min="527" max="720" width="9.140625" style="228"/>
    <col min="721" max="722" width="8.7109375" style="228" customWidth="1"/>
    <col min="723" max="723" width="4.7109375" style="228" customWidth="1"/>
    <col min="724" max="724" width="10.7109375" style="228" customWidth="1"/>
    <col min="725" max="725" width="5.7109375" style="228" customWidth="1"/>
    <col min="726" max="726" width="3.28515625" style="228" bestFit="1" customWidth="1"/>
    <col min="727" max="727" width="8.7109375" style="228" customWidth="1"/>
    <col min="728" max="728" width="4.7109375" style="228" customWidth="1"/>
    <col min="729" max="729" width="10.7109375" style="228" customWidth="1"/>
    <col min="730" max="730" width="5.7109375" style="228" customWidth="1"/>
    <col min="731" max="731" width="3.28515625" style="228" customWidth="1"/>
    <col min="732" max="732" width="8.42578125" style="228" bestFit="1" customWidth="1"/>
    <col min="733" max="733" width="8.85546875" style="228" customWidth="1"/>
    <col min="734" max="744" width="10.7109375" style="228" customWidth="1"/>
    <col min="745" max="745" width="13.28515625" style="228" customWidth="1"/>
    <col min="746" max="746" width="9.28515625" style="228" bestFit="1" customWidth="1"/>
    <col min="747" max="747" width="15.7109375" style="228" customWidth="1"/>
    <col min="748" max="748" width="7" style="228" customWidth="1"/>
    <col min="749" max="750" width="13" style="228" customWidth="1"/>
    <col min="751" max="757" width="18.7109375" style="228" customWidth="1"/>
    <col min="758" max="758" width="21.7109375" style="228" bestFit="1" customWidth="1"/>
    <col min="759" max="760" width="8.7109375" style="228" customWidth="1"/>
    <col min="761" max="761" width="18.42578125" style="228" customWidth="1"/>
    <col min="762" max="767" width="15" style="228" customWidth="1"/>
    <col min="768" max="768" width="21.7109375" style="228" bestFit="1" customWidth="1"/>
    <col min="769" max="769" width="7.28515625" style="228" customWidth="1"/>
    <col min="770" max="770" width="14.85546875" style="228" customWidth="1"/>
    <col min="771" max="771" width="15.140625" style="228" bestFit="1" customWidth="1"/>
    <col min="772" max="772" width="25.42578125" style="228" customWidth="1"/>
    <col min="773" max="773" width="5.85546875" style="228" bestFit="1" customWidth="1"/>
    <col min="774" max="774" width="6.7109375" style="228" bestFit="1" customWidth="1"/>
    <col min="775" max="779" width="8.42578125" style="228" bestFit="1" customWidth="1"/>
    <col min="780" max="782" width="14" style="228" customWidth="1"/>
    <col min="783" max="976" width="9.140625" style="228"/>
    <col min="977" max="978" width="8.7109375" style="228" customWidth="1"/>
    <col min="979" max="979" width="4.7109375" style="228" customWidth="1"/>
    <col min="980" max="980" width="10.7109375" style="228" customWidth="1"/>
    <col min="981" max="981" width="5.7109375" style="228" customWidth="1"/>
    <col min="982" max="982" width="3.28515625" style="228" bestFit="1" customWidth="1"/>
    <col min="983" max="983" width="8.7109375" style="228" customWidth="1"/>
    <col min="984" max="984" width="4.7109375" style="228" customWidth="1"/>
    <col min="985" max="985" width="10.7109375" style="228" customWidth="1"/>
    <col min="986" max="986" width="5.7109375" style="228" customWidth="1"/>
    <col min="987" max="987" width="3.28515625" style="228" customWidth="1"/>
    <col min="988" max="988" width="8.42578125" style="228" bestFit="1" customWidth="1"/>
    <col min="989" max="989" width="8.85546875" style="228" customWidth="1"/>
    <col min="990" max="1000" width="10.7109375" style="228" customWidth="1"/>
    <col min="1001" max="1001" width="13.28515625" style="228" customWidth="1"/>
    <col min="1002" max="1002" width="9.28515625" style="228" bestFit="1" customWidth="1"/>
    <col min="1003" max="1003" width="15.7109375" style="228" customWidth="1"/>
    <col min="1004" max="1004" width="7" style="228" customWidth="1"/>
    <col min="1005" max="1006" width="13" style="228" customWidth="1"/>
    <col min="1007" max="1013" width="18.7109375" style="228" customWidth="1"/>
    <col min="1014" max="1014" width="21.7109375" style="228" bestFit="1" customWidth="1"/>
    <col min="1015" max="1016" width="8.7109375" style="228" customWidth="1"/>
    <col min="1017" max="1017" width="18.42578125" style="228" customWidth="1"/>
    <col min="1018" max="1023" width="15" style="228" customWidth="1"/>
    <col min="1024" max="1024" width="21.7109375" style="228" bestFit="1" customWidth="1"/>
    <col min="1025" max="1025" width="7.28515625" style="228" customWidth="1"/>
    <col min="1026" max="1026" width="14.85546875" style="228" customWidth="1"/>
    <col min="1027" max="1027" width="15.140625" style="228" bestFit="1" customWidth="1"/>
    <col min="1028" max="1028" width="25.42578125" style="228" customWidth="1"/>
    <col min="1029" max="1029" width="5.85546875" style="228" bestFit="1" customWidth="1"/>
    <col min="1030" max="1030" width="6.7109375" style="228" bestFit="1" customWidth="1"/>
    <col min="1031" max="1035" width="8.42578125" style="228" bestFit="1" customWidth="1"/>
    <col min="1036" max="1038" width="14" style="228" customWidth="1"/>
    <col min="1039" max="1232" width="9.140625" style="228"/>
    <col min="1233" max="1234" width="8.7109375" style="228" customWidth="1"/>
    <col min="1235" max="1235" width="4.7109375" style="228" customWidth="1"/>
    <col min="1236" max="1236" width="10.7109375" style="228" customWidth="1"/>
    <col min="1237" max="1237" width="5.7109375" style="228" customWidth="1"/>
    <col min="1238" max="1238" width="3.28515625" style="228" bestFit="1" customWidth="1"/>
    <col min="1239" max="1239" width="8.7109375" style="228" customWidth="1"/>
    <col min="1240" max="1240" width="4.7109375" style="228" customWidth="1"/>
    <col min="1241" max="1241" width="10.7109375" style="228" customWidth="1"/>
    <col min="1242" max="1242" width="5.7109375" style="228" customWidth="1"/>
    <col min="1243" max="1243" width="3.28515625" style="228" customWidth="1"/>
    <col min="1244" max="1244" width="8.42578125" style="228" bestFit="1" customWidth="1"/>
    <col min="1245" max="1245" width="8.85546875" style="228" customWidth="1"/>
    <col min="1246" max="1256" width="10.7109375" style="228" customWidth="1"/>
    <col min="1257" max="1257" width="13.28515625" style="228" customWidth="1"/>
    <col min="1258" max="1258" width="9.28515625" style="228" bestFit="1" customWidth="1"/>
    <col min="1259" max="1259" width="15.7109375" style="228" customWidth="1"/>
    <col min="1260" max="1260" width="7" style="228" customWidth="1"/>
    <col min="1261" max="1262" width="13" style="228" customWidth="1"/>
    <col min="1263" max="1269" width="18.7109375" style="228" customWidth="1"/>
    <col min="1270" max="1270" width="21.7109375" style="228" bestFit="1" customWidth="1"/>
    <col min="1271" max="1272" width="8.7109375" style="228" customWidth="1"/>
    <col min="1273" max="1273" width="18.42578125" style="228" customWidth="1"/>
    <col min="1274" max="1279" width="15" style="228" customWidth="1"/>
    <col min="1280" max="1280" width="21.7109375" style="228" bestFit="1" customWidth="1"/>
    <col min="1281" max="1281" width="7.28515625" style="228" customWidth="1"/>
    <col min="1282" max="1282" width="14.85546875" style="228" customWidth="1"/>
    <col min="1283" max="1283" width="15.140625" style="228" bestFit="1" customWidth="1"/>
    <col min="1284" max="1284" width="25.42578125" style="228" customWidth="1"/>
    <col min="1285" max="1285" width="5.85546875" style="228" bestFit="1" customWidth="1"/>
    <col min="1286" max="1286" width="6.7109375" style="228" bestFit="1" customWidth="1"/>
    <col min="1287" max="1291" width="8.42578125" style="228" bestFit="1" customWidth="1"/>
    <col min="1292" max="1294" width="14" style="228" customWidth="1"/>
    <col min="1295" max="1488" width="9.140625" style="228"/>
    <col min="1489" max="1490" width="8.7109375" style="228" customWidth="1"/>
    <col min="1491" max="1491" width="4.7109375" style="228" customWidth="1"/>
    <col min="1492" max="1492" width="10.7109375" style="228" customWidth="1"/>
    <col min="1493" max="1493" width="5.7109375" style="228" customWidth="1"/>
    <col min="1494" max="1494" width="3.28515625" style="228" bestFit="1" customWidth="1"/>
    <col min="1495" max="1495" width="8.7109375" style="228" customWidth="1"/>
    <col min="1496" max="1496" width="4.7109375" style="228" customWidth="1"/>
    <col min="1497" max="1497" width="10.7109375" style="228" customWidth="1"/>
    <col min="1498" max="1498" width="5.7109375" style="228" customWidth="1"/>
    <col min="1499" max="1499" width="3.28515625" style="228" customWidth="1"/>
    <col min="1500" max="1500" width="8.42578125" style="228" bestFit="1" customWidth="1"/>
    <col min="1501" max="1501" width="8.85546875" style="228" customWidth="1"/>
    <col min="1502" max="1512" width="10.7109375" style="228" customWidth="1"/>
    <col min="1513" max="1513" width="13.28515625" style="228" customWidth="1"/>
    <col min="1514" max="1514" width="9.28515625" style="228" bestFit="1" customWidth="1"/>
    <col min="1515" max="1515" width="15.7109375" style="228" customWidth="1"/>
    <col min="1516" max="1516" width="7" style="228" customWidth="1"/>
    <col min="1517" max="1518" width="13" style="228" customWidth="1"/>
    <col min="1519" max="1525" width="18.7109375" style="228" customWidth="1"/>
    <col min="1526" max="1526" width="21.7109375" style="228" bestFit="1" customWidth="1"/>
    <col min="1527" max="1528" width="8.7109375" style="228" customWidth="1"/>
    <col min="1529" max="1529" width="18.42578125" style="228" customWidth="1"/>
    <col min="1530" max="1535" width="15" style="228" customWidth="1"/>
    <col min="1536" max="1536" width="21.7109375" style="228" bestFit="1" customWidth="1"/>
    <col min="1537" max="1537" width="7.28515625" style="228" customWidth="1"/>
    <col min="1538" max="1538" width="14.85546875" style="228" customWidth="1"/>
    <col min="1539" max="1539" width="15.140625" style="228" bestFit="1" customWidth="1"/>
    <col min="1540" max="1540" width="25.42578125" style="228" customWidth="1"/>
    <col min="1541" max="1541" width="5.85546875" style="228" bestFit="1" customWidth="1"/>
    <col min="1542" max="1542" width="6.7109375" style="228" bestFit="1" customWidth="1"/>
    <col min="1543" max="1547" width="8.42578125" style="228" bestFit="1" customWidth="1"/>
    <col min="1548" max="1550" width="14" style="228" customWidth="1"/>
    <col min="1551" max="1744" width="9.140625" style="228"/>
    <col min="1745" max="1746" width="8.7109375" style="228" customWidth="1"/>
    <col min="1747" max="1747" width="4.7109375" style="228" customWidth="1"/>
    <col min="1748" max="1748" width="10.7109375" style="228" customWidth="1"/>
    <col min="1749" max="1749" width="5.7109375" style="228" customWidth="1"/>
    <col min="1750" max="1750" width="3.28515625" style="228" bestFit="1" customWidth="1"/>
    <col min="1751" max="1751" width="8.7109375" style="228" customWidth="1"/>
    <col min="1752" max="1752" width="4.7109375" style="228" customWidth="1"/>
    <col min="1753" max="1753" width="10.7109375" style="228" customWidth="1"/>
    <col min="1754" max="1754" width="5.7109375" style="228" customWidth="1"/>
    <col min="1755" max="1755" width="3.28515625" style="228" customWidth="1"/>
    <col min="1756" max="1756" width="8.42578125" style="228" bestFit="1" customWidth="1"/>
    <col min="1757" max="1757" width="8.85546875" style="228" customWidth="1"/>
    <col min="1758" max="1768" width="10.7109375" style="228" customWidth="1"/>
    <col min="1769" max="1769" width="13.28515625" style="228" customWidth="1"/>
    <col min="1770" max="1770" width="9.28515625" style="228" bestFit="1" customWidth="1"/>
    <col min="1771" max="1771" width="15.7109375" style="228" customWidth="1"/>
    <col min="1772" max="1772" width="7" style="228" customWidth="1"/>
    <col min="1773" max="1774" width="13" style="228" customWidth="1"/>
    <col min="1775" max="1781" width="18.7109375" style="228" customWidth="1"/>
    <col min="1782" max="1782" width="21.7109375" style="228" bestFit="1" customWidth="1"/>
    <col min="1783" max="1784" width="8.7109375" style="228" customWidth="1"/>
    <col min="1785" max="1785" width="18.42578125" style="228" customWidth="1"/>
    <col min="1786" max="1791" width="15" style="228" customWidth="1"/>
    <col min="1792" max="1792" width="21.7109375" style="228" bestFit="1" customWidth="1"/>
    <col min="1793" max="1793" width="7.28515625" style="228" customWidth="1"/>
    <col min="1794" max="1794" width="14.85546875" style="228" customWidth="1"/>
    <col min="1795" max="1795" width="15.140625" style="228" bestFit="1" customWidth="1"/>
    <col min="1796" max="1796" width="25.42578125" style="228" customWidth="1"/>
    <col min="1797" max="1797" width="5.85546875" style="228" bestFit="1" customWidth="1"/>
    <col min="1798" max="1798" width="6.7109375" style="228" bestFit="1" customWidth="1"/>
    <col min="1799" max="1803" width="8.42578125" style="228" bestFit="1" customWidth="1"/>
    <col min="1804" max="1806" width="14" style="228" customWidth="1"/>
    <col min="1807" max="2000" width="9.140625" style="228"/>
    <col min="2001" max="2002" width="8.7109375" style="228" customWidth="1"/>
    <col min="2003" max="2003" width="4.7109375" style="228" customWidth="1"/>
    <col min="2004" max="2004" width="10.7109375" style="228" customWidth="1"/>
    <col min="2005" max="2005" width="5.7109375" style="228" customWidth="1"/>
    <col min="2006" max="2006" width="3.28515625" style="228" bestFit="1" customWidth="1"/>
    <col min="2007" max="2007" width="8.7109375" style="228" customWidth="1"/>
    <col min="2008" max="2008" width="4.7109375" style="228" customWidth="1"/>
    <col min="2009" max="2009" width="10.7109375" style="228" customWidth="1"/>
    <col min="2010" max="2010" width="5.7109375" style="228" customWidth="1"/>
    <col min="2011" max="2011" width="3.28515625" style="228" customWidth="1"/>
    <col min="2012" max="2012" width="8.42578125" style="228" bestFit="1" customWidth="1"/>
    <col min="2013" max="2013" width="8.85546875" style="228" customWidth="1"/>
    <col min="2014" max="2024" width="10.7109375" style="228" customWidth="1"/>
    <col min="2025" max="2025" width="13.28515625" style="228" customWidth="1"/>
    <col min="2026" max="2026" width="9.28515625" style="228" bestFit="1" customWidth="1"/>
    <col min="2027" max="2027" width="15.7109375" style="228" customWidth="1"/>
    <col min="2028" max="2028" width="7" style="228" customWidth="1"/>
    <col min="2029" max="2030" width="13" style="228" customWidth="1"/>
    <col min="2031" max="2037" width="18.7109375" style="228" customWidth="1"/>
    <col min="2038" max="2038" width="21.7109375" style="228" bestFit="1" customWidth="1"/>
    <col min="2039" max="2040" width="8.7109375" style="228" customWidth="1"/>
    <col min="2041" max="2041" width="18.42578125" style="228" customWidth="1"/>
    <col min="2042" max="2047" width="15" style="228" customWidth="1"/>
    <col min="2048" max="2048" width="21.7109375" style="228" bestFit="1" customWidth="1"/>
    <col min="2049" max="2049" width="7.28515625" style="228" customWidth="1"/>
    <col min="2050" max="2050" width="14.85546875" style="228" customWidth="1"/>
    <col min="2051" max="2051" width="15.140625" style="228" bestFit="1" customWidth="1"/>
    <col min="2052" max="2052" width="25.42578125" style="228" customWidth="1"/>
    <col min="2053" max="2053" width="5.85546875" style="228" bestFit="1" customWidth="1"/>
    <col min="2054" max="2054" width="6.7109375" style="228" bestFit="1" customWidth="1"/>
    <col min="2055" max="2059" width="8.42578125" style="228" bestFit="1" customWidth="1"/>
    <col min="2060" max="2062" width="14" style="228" customWidth="1"/>
    <col min="2063" max="2256" width="9.140625" style="228"/>
    <col min="2257" max="2258" width="8.7109375" style="228" customWidth="1"/>
    <col min="2259" max="2259" width="4.7109375" style="228" customWidth="1"/>
    <col min="2260" max="2260" width="10.7109375" style="228" customWidth="1"/>
    <col min="2261" max="2261" width="5.7109375" style="228" customWidth="1"/>
    <col min="2262" max="2262" width="3.28515625" style="228" bestFit="1" customWidth="1"/>
    <col min="2263" max="2263" width="8.7109375" style="228" customWidth="1"/>
    <col min="2264" max="2264" width="4.7109375" style="228" customWidth="1"/>
    <col min="2265" max="2265" width="10.7109375" style="228" customWidth="1"/>
    <col min="2266" max="2266" width="5.7109375" style="228" customWidth="1"/>
    <col min="2267" max="2267" width="3.28515625" style="228" customWidth="1"/>
    <col min="2268" max="2268" width="8.42578125" style="228" bestFit="1" customWidth="1"/>
    <col min="2269" max="2269" width="8.85546875" style="228" customWidth="1"/>
    <col min="2270" max="2280" width="10.7109375" style="228" customWidth="1"/>
    <col min="2281" max="2281" width="13.28515625" style="228" customWidth="1"/>
    <col min="2282" max="2282" width="9.28515625" style="228" bestFit="1" customWidth="1"/>
    <col min="2283" max="2283" width="15.7109375" style="228" customWidth="1"/>
    <col min="2284" max="2284" width="7" style="228" customWidth="1"/>
    <col min="2285" max="2286" width="13" style="228" customWidth="1"/>
    <col min="2287" max="2293" width="18.7109375" style="228" customWidth="1"/>
    <col min="2294" max="2294" width="21.7109375" style="228" bestFit="1" customWidth="1"/>
    <col min="2295" max="2296" width="8.7109375" style="228" customWidth="1"/>
    <col min="2297" max="2297" width="18.42578125" style="228" customWidth="1"/>
    <col min="2298" max="2303" width="15" style="228" customWidth="1"/>
    <col min="2304" max="2304" width="21.7109375" style="228" bestFit="1" customWidth="1"/>
    <col min="2305" max="2305" width="7.28515625" style="228" customWidth="1"/>
    <col min="2306" max="2306" width="14.85546875" style="228" customWidth="1"/>
    <col min="2307" max="2307" width="15.140625" style="228" bestFit="1" customWidth="1"/>
    <col min="2308" max="2308" width="25.42578125" style="228" customWidth="1"/>
    <col min="2309" max="2309" width="5.85546875" style="228" bestFit="1" customWidth="1"/>
    <col min="2310" max="2310" width="6.7109375" style="228" bestFit="1" customWidth="1"/>
    <col min="2311" max="2315" width="8.42578125" style="228" bestFit="1" customWidth="1"/>
    <col min="2316" max="2318" width="14" style="228" customWidth="1"/>
    <col min="2319" max="2512" width="9.140625" style="228"/>
    <col min="2513" max="2514" width="8.7109375" style="228" customWidth="1"/>
    <col min="2515" max="2515" width="4.7109375" style="228" customWidth="1"/>
    <col min="2516" max="2516" width="10.7109375" style="228" customWidth="1"/>
    <col min="2517" max="2517" width="5.7109375" style="228" customWidth="1"/>
    <col min="2518" max="2518" width="3.28515625" style="228" bestFit="1" customWidth="1"/>
    <col min="2519" max="2519" width="8.7109375" style="228" customWidth="1"/>
    <col min="2520" max="2520" width="4.7109375" style="228" customWidth="1"/>
    <col min="2521" max="2521" width="10.7109375" style="228" customWidth="1"/>
    <col min="2522" max="2522" width="5.7109375" style="228" customWidth="1"/>
    <col min="2523" max="2523" width="3.28515625" style="228" customWidth="1"/>
    <col min="2524" max="2524" width="8.42578125" style="228" bestFit="1" customWidth="1"/>
    <col min="2525" max="2525" width="8.85546875" style="228" customWidth="1"/>
    <col min="2526" max="2536" width="10.7109375" style="228" customWidth="1"/>
    <col min="2537" max="2537" width="13.28515625" style="228" customWidth="1"/>
    <col min="2538" max="2538" width="9.28515625" style="228" bestFit="1" customWidth="1"/>
    <col min="2539" max="2539" width="15.7109375" style="228" customWidth="1"/>
    <col min="2540" max="2540" width="7" style="228" customWidth="1"/>
    <col min="2541" max="2542" width="13" style="228" customWidth="1"/>
    <col min="2543" max="2549" width="18.7109375" style="228" customWidth="1"/>
    <col min="2550" max="2550" width="21.7109375" style="228" bestFit="1" customWidth="1"/>
    <col min="2551" max="2552" width="8.7109375" style="228" customWidth="1"/>
    <col min="2553" max="2553" width="18.42578125" style="228" customWidth="1"/>
    <col min="2554" max="2559" width="15" style="228" customWidth="1"/>
    <col min="2560" max="2560" width="21.7109375" style="228" bestFit="1" customWidth="1"/>
    <col min="2561" max="2561" width="7.28515625" style="228" customWidth="1"/>
    <col min="2562" max="2562" width="14.85546875" style="228" customWidth="1"/>
    <col min="2563" max="2563" width="15.140625" style="228" bestFit="1" customWidth="1"/>
    <col min="2564" max="2564" width="25.42578125" style="228" customWidth="1"/>
    <col min="2565" max="2565" width="5.85546875" style="228" bestFit="1" customWidth="1"/>
    <col min="2566" max="2566" width="6.7109375" style="228" bestFit="1" customWidth="1"/>
    <col min="2567" max="2571" width="8.42578125" style="228" bestFit="1" customWidth="1"/>
    <col min="2572" max="2574" width="14" style="228" customWidth="1"/>
    <col min="2575" max="2768" width="9.140625" style="228"/>
    <col min="2769" max="2770" width="8.7109375" style="228" customWidth="1"/>
    <col min="2771" max="2771" width="4.7109375" style="228" customWidth="1"/>
    <col min="2772" max="2772" width="10.7109375" style="228" customWidth="1"/>
    <col min="2773" max="2773" width="5.7109375" style="228" customWidth="1"/>
    <col min="2774" max="2774" width="3.28515625" style="228" bestFit="1" customWidth="1"/>
    <col min="2775" max="2775" width="8.7109375" style="228" customWidth="1"/>
    <col min="2776" max="2776" width="4.7109375" style="228" customWidth="1"/>
    <col min="2777" max="2777" width="10.7109375" style="228" customWidth="1"/>
    <col min="2778" max="2778" width="5.7109375" style="228" customWidth="1"/>
    <col min="2779" max="2779" width="3.28515625" style="228" customWidth="1"/>
    <col min="2780" max="2780" width="8.42578125" style="228" bestFit="1" customWidth="1"/>
    <col min="2781" max="2781" width="8.85546875" style="228" customWidth="1"/>
    <col min="2782" max="2792" width="10.7109375" style="228" customWidth="1"/>
    <col min="2793" max="2793" width="13.28515625" style="228" customWidth="1"/>
    <col min="2794" max="2794" width="9.28515625" style="228" bestFit="1" customWidth="1"/>
    <col min="2795" max="2795" width="15.7109375" style="228" customWidth="1"/>
    <col min="2796" max="2796" width="7" style="228" customWidth="1"/>
    <col min="2797" max="2798" width="13" style="228" customWidth="1"/>
    <col min="2799" max="2805" width="18.7109375" style="228" customWidth="1"/>
    <col min="2806" max="2806" width="21.7109375" style="228" bestFit="1" customWidth="1"/>
    <col min="2807" max="2808" width="8.7109375" style="228" customWidth="1"/>
    <col min="2809" max="2809" width="18.42578125" style="228" customWidth="1"/>
    <col min="2810" max="2815" width="15" style="228" customWidth="1"/>
    <col min="2816" max="2816" width="21.7109375" style="228" bestFit="1" customWidth="1"/>
    <col min="2817" max="2817" width="7.28515625" style="228" customWidth="1"/>
    <col min="2818" max="2818" width="14.85546875" style="228" customWidth="1"/>
    <col min="2819" max="2819" width="15.140625" style="228" bestFit="1" customWidth="1"/>
    <col min="2820" max="2820" width="25.42578125" style="228" customWidth="1"/>
    <col min="2821" max="2821" width="5.85546875" style="228" bestFit="1" customWidth="1"/>
    <col min="2822" max="2822" width="6.7109375" style="228" bestFit="1" customWidth="1"/>
    <col min="2823" max="2827" width="8.42578125" style="228" bestFit="1" customWidth="1"/>
    <col min="2828" max="2830" width="14" style="228" customWidth="1"/>
    <col min="2831" max="3024" width="9.140625" style="228"/>
    <col min="3025" max="3026" width="8.7109375" style="228" customWidth="1"/>
    <col min="3027" max="3027" width="4.7109375" style="228" customWidth="1"/>
    <col min="3028" max="3028" width="10.7109375" style="228" customWidth="1"/>
    <col min="3029" max="3029" width="5.7109375" style="228" customWidth="1"/>
    <col min="3030" max="3030" width="3.28515625" style="228" bestFit="1" customWidth="1"/>
    <col min="3031" max="3031" width="8.7109375" style="228" customWidth="1"/>
    <col min="3032" max="3032" width="4.7109375" style="228" customWidth="1"/>
    <col min="3033" max="3033" width="10.7109375" style="228" customWidth="1"/>
    <col min="3034" max="3034" width="5.7109375" style="228" customWidth="1"/>
    <col min="3035" max="3035" width="3.28515625" style="228" customWidth="1"/>
    <col min="3036" max="3036" width="8.42578125" style="228" bestFit="1" customWidth="1"/>
    <col min="3037" max="3037" width="8.85546875" style="228" customWidth="1"/>
    <col min="3038" max="3048" width="10.7109375" style="228" customWidth="1"/>
    <col min="3049" max="3049" width="13.28515625" style="228" customWidth="1"/>
    <col min="3050" max="3050" width="9.28515625" style="228" bestFit="1" customWidth="1"/>
    <col min="3051" max="3051" width="15.7109375" style="228" customWidth="1"/>
    <col min="3052" max="3052" width="7" style="228" customWidth="1"/>
    <col min="3053" max="3054" width="13" style="228" customWidth="1"/>
    <col min="3055" max="3061" width="18.7109375" style="228" customWidth="1"/>
    <col min="3062" max="3062" width="21.7109375" style="228" bestFit="1" customWidth="1"/>
    <col min="3063" max="3064" width="8.7109375" style="228" customWidth="1"/>
    <col min="3065" max="3065" width="18.42578125" style="228" customWidth="1"/>
    <col min="3066" max="3071" width="15" style="228" customWidth="1"/>
    <col min="3072" max="3072" width="21.7109375" style="228" bestFit="1" customWidth="1"/>
    <col min="3073" max="3073" width="7.28515625" style="228" customWidth="1"/>
    <col min="3074" max="3074" width="14.85546875" style="228" customWidth="1"/>
    <col min="3075" max="3075" width="15.140625" style="228" bestFit="1" customWidth="1"/>
    <col min="3076" max="3076" width="25.42578125" style="228" customWidth="1"/>
    <col min="3077" max="3077" width="5.85546875" style="228" bestFit="1" customWidth="1"/>
    <col min="3078" max="3078" width="6.7109375" style="228" bestFit="1" customWidth="1"/>
    <col min="3079" max="3083" width="8.42578125" style="228" bestFit="1" customWidth="1"/>
    <col min="3084" max="3086" width="14" style="228" customWidth="1"/>
    <col min="3087" max="3280" width="9.140625" style="228"/>
    <col min="3281" max="3282" width="8.7109375" style="228" customWidth="1"/>
    <col min="3283" max="3283" width="4.7109375" style="228" customWidth="1"/>
    <col min="3284" max="3284" width="10.7109375" style="228" customWidth="1"/>
    <col min="3285" max="3285" width="5.7109375" style="228" customWidth="1"/>
    <col min="3286" max="3286" width="3.28515625" style="228" bestFit="1" customWidth="1"/>
    <col min="3287" max="3287" width="8.7109375" style="228" customWidth="1"/>
    <col min="3288" max="3288" width="4.7109375" style="228" customWidth="1"/>
    <col min="3289" max="3289" width="10.7109375" style="228" customWidth="1"/>
    <col min="3290" max="3290" width="5.7109375" style="228" customWidth="1"/>
    <col min="3291" max="3291" width="3.28515625" style="228" customWidth="1"/>
    <col min="3292" max="3292" width="8.42578125" style="228" bestFit="1" customWidth="1"/>
    <col min="3293" max="3293" width="8.85546875" style="228" customWidth="1"/>
    <col min="3294" max="3304" width="10.7109375" style="228" customWidth="1"/>
    <col min="3305" max="3305" width="13.28515625" style="228" customWidth="1"/>
    <col min="3306" max="3306" width="9.28515625" style="228" bestFit="1" customWidth="1"/>
    <col min="3307" max="3307" width="15.7109375" style="228" customWidth="1"/>
    <col min="3308" max="3308" width="7" style="228" customWidth="1"/>
    <col min="3309" max="3310" width="13" style="228" customWidth="1"/>
    <col min="3311" max="3317" width="18.7109375" style="228" customWidth="1"/>
    <col min="3318" max="3318" width="21.7109375" style="228" bestFit="1" customWidth="1"/>
    <col min="3319" max="3320" width="8.7109375" style="228" customWidth="1"/>
    <col min="3321" max="3321" width="18.42578125" style="228" customWidth="1"/>
    <col min="3322" max="3327" width="15" style="228" customWidth="1"/>
    <col min="3328" max="3328" width="21.7109375" style="228" bestFit="1" customWidth="1"/>
    <col min="3329" max="3329" width="7.28515625" style="228" customWidth="1"/>
    <col min="3330" max="3330" width="14.85546875" style="228" customWidth="1"/>
    <col min="3331" max="3331" width="15.140625" style="228" bestFit="1" customWidth="1"/>
    <col min="3332" max="3332" width="25.42578125" style="228" customWidth="1"/>
    <col min="3333" max="3333" width="5.85546875" style="228" bestFit="1" customWidth="1"/>
    <col min="3334" max="3334" width="6.7109375" style="228" bestFit="1" customWidth="1"/>
    <col min="3335" max="3339" width="8.42578125" style="228" bestFit="1" customWidth="1"/>
    <col min="3340" max="3342" width="14" style="228" customWidth="1"/>
    <col min="3343" max="3536" width="9.140625" style="228"/>
    <col min="3537" max="3538" width="8.7109375" style="228" customWidth="1"/>
    <col min="3539" max="3539" width="4.7109375" style="228" customWidth="1"/>
    <col min="3540" max="3540" width="10.7109375" style="228" customWidth="1"/>
    <col min="3541" max="3541" width="5.7109375" style="228" customWidth="1"/>
    <col min="3542" max="3542" width="3.28515625" style="228" bestFit="1" customWidth="1"/>
    <col min="3543" max="3543" width="8.7109375" style="228" customWidth="1"/>
    <col min="3544" max="3544" width="4.7109375" style="228" customWidth="1"/>
    <col min="3545" max="3545" width="10.7109375" style="228" customWidth="1"/>
    <col min="3546" max="3546" width="5.7109375" style="228" customWidth="1"/>
    <col min="3547" max="3547" width="3.28515625" style="228" customWidth="1"/>
    <col min="3548" max="3548" width="8.42578125" style="228" bestFit="1" customWidth="1"/>
    <col min="3549" max="3549" width="8.85546875" style="228" customWidth="1"/>
    <col min="3550" max="3560" width="10.7109375" style="228" customWidth="1"/>
    <col min="3561" max="3561" width="13.28515625" style="228" customWidth="1"/>
    <col min="3562" max="3562" width="9.28515625" style="228" bestFit="1" customWidth="1"/>
    <col min="3563" max="3563" width="15.7109375" style="228" customWidth="1"/>
    <col min="3564" max="3564" width="7" style="228" customWidth="1"/>
    <col min="3565" max="3566" width="13" style="228" customWidth="1"/>
    <col min="3567" max="3573" width="18.7109375" style="228" customWidth="1"/>
    <col min="3574" max="3574" width="21.7109375" style="228" bestFit="1" customWidth="1"/>
    <col min="3575" max="3576" width="8.7109375" style="228" customWidth="1"/>
    <col min="3577" max="3577" width="18.42578125" style="228" customWidth="1"/>
    <col min="3578" max="3583" width="15" style="228" customWidth="1"/>
    <col min="3584" max="3584" width="21.7109375" style="228" bestFit="1" customWidth="1"/>
    <col min="3585" max="3585" width="7.28515625" style="228" customWidth="1"/>
    <col min="3586" max="3586" width="14.85546875" style="228" customWidth="1"/>
    <col min="3587" max="3587" width="15.140625" style="228" bestFit="1" customWidth="1"/>
    <col min="3588" max="3588" width="25.42578125" style="228" customWidth="1"/>
    <col min="3589" max="3589" width="5.85546875" style="228" bestFit="1" customWidth="1"/>
    <col min="3590" max="3590" width="6.7109375" style="228" bestFit="1" customWidth="1"/>
    <col min="3591" max="3595" width="8.42578125" style="228" bestFit="1" customWidth="1"/>
    <col min="3596" max="3598" width="14" style="228" customWidth="1"/>
    <col min="3599" max="3792" width="9.140625" style="228"/>
    <col min="3793" max="3794" width="8.7109375" style="228" customWidth="1"/>
    <col min="3795" max="3795" width="4.7109375" style="228" customWidth="1"/>
    <col min="3796" max="3796" width="10.7109375" style="228" customWidth="1"/>
    <col min="3797" max="3797" width="5.7109375" style="228" customWidth="1"/>
    <col min="3798" max="3798" width="3.28515625" style="228" bestFit="1" customWidth="1"/>
    <col min="3799" max="3799" width="8.7109375" style="228" customWidth="1"/>
    <col min="3800" max="3800" width="4.7109375" style="228" customWidth="1"/>
    <col min="3801" max="3801" width="10.7109375" style="228" customWidth="1"/>
    <col min="3802" max="3802" width="5.7109375" style="228" customWidth="1"/>
    <col min="3803" max="3803" width="3.28515625" style="228" customWidth="1"/>
    <col min="3804" max="3804" width="8.42578125" style="228" bestFit="1" customWidth="1"/>
    <col min="3805" max="3805" width="8.85546875" style="228" customWidth="1"/>
    <col min="3806" max="3816" width="10.7109375" style="228" customWidth="1"/>
    <col min="3817" max="3817" width="13.28515625" style="228" customWidth="1"/>
    <col min="3818" max="3818" width="9.28515625" style="228" bestFit="1" customWidth="1"/>
    <col min="3819" max="3819" width="15.7109375" style="228" customWidth="1"/>
    <col min="3820" max="3820" width="7" style="228" customWidth="1"/>
    <col min="3821" max="3822" width="13" style="228" customWidth="1"/>
    <col min="3823" max="3829" width="18.7109375" style="228" customWidth="1"/>
    <col min="3830" max="3830" width="21.7109375" style="228" bestFit="1" customWidth="1"/>
    <col min="3831" max="3832" width="8.7109375" style="228" customWidth="1"/>
    <col min="3833" max="3833" width="18.42578125" style="228" customWidth="1"/>
    <col min="3834" max="3839" width="15" style="228" customWidth="1"/>
    <col min="3840" max="3840" width="21.7109375" style="228" bestFit="1" customWidth="1"/>
    <col min="3841" max="3841" width="7.28515625" style="228" customWidth="1"/>
    <col min="3842" max="3842" width="14.85546875" style="228" customWidth="1"/>
    <col min="3843" max="3843" width="15.140625" style="228" bestFit="1" customWidth="1"/>
    <col min="3844" max="3844" width="25.42578125" style="228" customWidth="1"/>
    <col min="3845" max="3845" width="5.85546875" style="228" bestFit="1" customWidth="1"/>
    <col min="3846" max="3846" width="6.7109375" style="228" bestFit="1" customWidth="1"/>
    <col min="3847" max="3851" width="8.42578125" style="228" bestFit="1" customWidth="1"/>
    <col min="3852" max="3854" width="14" style="228" customWidth="1"/>
    <col min="3855" max="4048" width="9.140625" style="228"/>
    <col min="4049" max="4050" width="8.7109375" style="228" customWidth="1"/>
    <col min="4051" max="4051" width="4.7109375" style="228" customWidth="1"/>
    <col min="4052" max="4052" width="10.7109375" style="228" customWidth="1"/>
    <col min="4053" max="4053" width="5.7109375" style="228" customWidth="1"/>
    <col min="4054" max="4054" width="3.28515625" style="228" bestFit="1" customWidth="1"/>
    <col min="4055" max="4055" width="8.7109375" style="228" customWidth="1"/>
    <col min="4056" max="4056" width="4.7109375" style="228" customWidth="1"/>
    <col min="4057" max="4057" width="10.7109375" style="228" customWidth="1"/>
    <col min="4058" max="4058" width="5.7109375" style="228" customWidth="1"/>
    <col min="4059" max="4059" width="3.28515625" style="228" customWidth="1"/>
    <col min="4060" max="4060" width="8.42578125" style="228" bestFit="1" customWidth="1"/>
    <col min="4061" max="4061" width="8.85546875" style="228" customWidth="1"/>
    <col min="4062" max="4072" width="10.7109375" style="228" customWidth="1"/>
    <col min="4073" max="4073" width="13.28515625" style="228" customWidth="1"/>
    <col min="4074" max="4074" width="9.28515625" style="228" bestFit="1" customWidth="1"/>
    <col min="4075" max="4075" width="15.7109375" style="228" customWidth="1"/>
    <col min="4076" max="4076" width="7" style="228" customWidth="1"/>
    <col min="4077" max="4078" width="13" style="228" customWidth="1"/>
    <col min="4079" max="4085" width="18.7109375" style="228" customWidth="1"/>
    <col min="4086" max="4086" width="21.7109375" style="228" bestFit="1" customWidth="1"/>
    <col min="4087" max="4088" width="8.7109375" style="228" customWidth="1"/>
    <col min="4089" max="4089" width="18.42578125" style="228" customWidth="1"/>
    <col min="4090" max="4095" width="15" style="228" customWidth="1"/>
    <col min="4096" max="4096" width="21.7109375" style="228" bestFit="1" customWidth="1"/>
    <col min="4097" max="4097" width="7.28515625" style="228" customWidth="1"/>
    <col min="4098" max="4098" width="14.85546875" style="228" customWidth="1"/>
    <col min="4099" max="4099" width="15.140625" style="228" bestFit="1" customWidth="1"/>
    <col min="4100" max="4100" width="25.42578125" style="228" customWidth="1"/>
    <col min="4101" max="4101" width="5.85546875" style="228" bestFit="1" customWidth="1"/>
    <col min="4102" max="4102" width="6.7109375" style="228" bestFit="1" customWidth="1"/>
    <col min="4103" max="4107" width="8.42578125" style="228" bestFit="1" customWidth="1"/>
    <col min="4108" max="4110" width="14" style="228" customWidth="1"/>
    <col min="4111" max="4304" width="9.140625" style="228"/>
    <col min="4305" max="4306" width="8.7109375" style="228" customWidth="1"/>
    <col min="4307" max="4307" width="4.7109375" style="228" customWidth="1"/>
    <col min="4308" max="4308" width="10.7109375" style="228" customWidth="1"/>
    <col min="4309" max="4309" width="5.7109375" style="228" customWidth="1"/>
    <col min="4310" max="4310" width="3.28515625" style="228" bestFit="1" customWidth="1"/>
    <col min="4311" max="4311" width="8.7109375" style="228" customWidth="1"/>
    <col min="4312" max="4312" width="4.7109375" style="228" customWidth="1"/>
    <col min="4313" max="4313" width="10.7109375" style="228" customWidth="1"/>
    <col min="4314" max="4314" width="5.7109375" style="228" customWidth="1"/>
    <col min="4315" max="4315" width="3.28515625" style="228" customWidth="1"/>
    <col min="4316" max="4316" width="8.42578125" style="228" bestFit="1" customWidth="1"/>
    <col min="4317" max="4317" width="8.85546875" style="228" customWidth="1"/>
    <col min="4318" max="4328" width="10.7109375" style="228" customWidth="1"/>
    <col min="4329" max="4329" width="13.28515625" style="228" customWidth="1"/>
    <col min="4330" max="4330" width="9.28515625" style="228" bestFit="1" customWidth="1"/>
    <col min="4331" max="4331" width="15.7109375" style="228" customWidth="1"/>
    <col min="4332" max="4332" width="7" style="228" customWidth="1"/>
    <col min="4333" max="4334" width="13" style="228" customWidth="1"/>
    <col min="4335" max="4341" width="18.7109375" style="228" customWidth="1"/>
    <col min="4342" max="4342" width="21.7109375" style="228" bestFit="1" customWidth="1"/>
    <col min="4343" max="4344" width="8.7109375" style="228" customWidth="1"/>
    <col min="4345" max="4345" width="18.42578125" style="228" customWidth="1"/>
    <col min="4346" max="4351" width="15" style="228" customWidth="1"/>
    <col min="4352" max="4352" width="21.7109375" style="228" bestFit="1" customWidth="1"/>
    <col min="4353" max="4353" width="7.28515625" style="228" customWidth="1"/>
    <col min="4354" max="4354" width="14.85546875" style="228" customWidth="1"/>
    <col min="4355" max="4355" width="15.140625" style="228" bestFit="1" customWidth="1"/>
    <col min="4356" max="4356" width="25.42578125" style="228" customWidth="1"/>
    <col min="4357" max="4357" width="5.85546875" style="228" bestFit="1" customWidth="1"/>
    <col min="4358" max="4358" width="6.7109375" style="228" bestFit="1" customWidth="1"/>
    <col min="4359" max="4363" width="8.42578125" style="228" bestFit="1" customWidth="1"/>
    <col min="4364" max="4366" width="14" style="228" customWidth="1"/>
    <col min="4367" max="4560" width="9.140625" style="228"/>
    <col min="4561" max="4562" width="8.7109375" style="228" customWidth="1"/>
    <col min="4563" max="4563" width="4.7109375" style="228" customWidth="1"/>
    <col min="4564" max="4564" width="10.7109375" style="228" customWidth="1"/>
    <col min="4565" max="4565" width="5.7109375" style="228" customWidth="1"/>
    <col min="4566" max="4566" width="3.28515625" style="228" bestFit="1" customWidth="1"/>
    <col min="4567" max="4567" width="8.7109375" style="228" customWidth="1"/>
    <col min="4568" max="4568" width="4.7109375" style="228" customWidth="1"/>
    <col min="4569" max="4569" width="10.7109375" style="228" customWidth="1"/>
    <col min="4570" max="4570" width="5.7109375" style="228" customWidth="1"/>
    <col min="4571" max="4571" width="3.28515625" style="228" customWidth="1"/>
    <col min="4572" max="4572" width="8.42578125" style="228" bestFit="1" customWidth="1"/>
    <col min="4573" max="4573" width="8.85546875" style="228" customWidth="1"/>
    <col min="4574" max="4584" width="10.7109375" style="228" customWidth="1"/>
    <col min="4585" max="4585" width="13.28515625" style="228" customWidth="1"/>
    <col min="4586" max="4586" width="9.28515625" style="228" bestFit="1" customWidth="1"/>
    <col min="4587" max="4587" width="15.7109375" style="228" customWidth="1"/>
    <col min="4588" max="4588" width="7" style="228" customWidth="1"/>
    <col min="4589" max="4590" width="13" style="228" customWidth="1"/>
    <col min="4591" max="4597" width="18.7109375" style="228" customWidth="1"/>
    <col min="4598" max="4598" width="21.7109375" style="228" bestFit="1" customWidth="1"/>
    <col min="4599" max="4600" width="8.7109375" style="228" customWidth="1"/>
    <col min="4601" max="4601" width="18.42578125" style="228" customWidth="1"/>
    <col min="4602" max="4607" width="15" style="228" customWidth="1"/>
    <col min="4608" max="4608" width="21.7109375" style="228" bestFit="1" customWidth="1"/>
    <col min="4609" max="4609" width="7.28515625" style="228" customWidth="1"/>
    <col min="4610" max="4610" width="14.85546875" style="228" customWidth="1"/>
    <col min="4611" max="4611" width="15.140625" style="228" bestFit="1" customWidth="1"/>
    <col min="4612" max="4612" width="25.42578125" style="228" customWidth="1"/>
    <col min="4613" max="4613" width="5.85546875" style="228" bestFit="1" customWidth="1"/>
    <col min="4614" max="4614" width="6.7109375" style="228" bestFit="1" customWidth="1"/>
    <col min="4615" max="4619" width="8.42578125" style="228" bestFit="1" customWidth="1"/>
    <col min="4620" max="4622" width="14" style="228" customWidth="1"/>
    <col min="4623" max="4816" width="9.140625" style="228"/>
    <col min="4817" max="4818" width="8.7109375" style="228" customWidth="1"/>
    <col min="4819" max="4819" width="4.7109375" style="228" customWidth="1"/>
    <col min="4820" max="4820" width="10.7109375" style="228" customWidth="1"/>
    <col min="4821" max="4821" width="5.7109375" style="228" customWidth="1"/>
    <col min="4822" max="4822" width="3.28515625" style="228" bestFit="1" customWidth="1"/>
    <col min="4823" max="4823" width="8.7109375" style="228" customWidth="1"/>
    <col min="4824" max="4824" width="4.7109375" style="228" customWidth="1"/>
    <col min="4825" max="4825" width="10.7109375" style="228" customWidth="1"/>
    <col min="4826" max="4826" width="5.7109375" style="228" customWidth="1"/>
    <col min="4827" max="4827" width="3.28515625" style="228" customWidth="1"/>
    <col min="4828" max="4828" width="8.42578125" style="228" bestFit="1" customWidth="1"/>
    <col min="4829" max="4829" width="8.85546875" style="228" customWidth="1"/>
    <col min="4830" max="4840" width="10.7109375" style="228" customWidth="1"/>
    <col min="4841" max="4841" width="13.28515625" style="228" customWidth="1"/>
    <col min="4842" max="4842" width="9.28515625" style="228" bestFit="1" customWidth="1"/>
    <col min="4843" max="4843" width="15.7109375" style="228" customWidth="1"/>
    <col min="4844" max="4844" width="7" style="228" customWidth="1"/>
    <col min="4845" max="4846" width="13" style="228" customWidth="1"/>
    <col min="4847" max="4853" width="18.7109375" style="228" customWidth="1"/>
    <col min="4854" max="4854" width="21.7109375" style="228" bestFit="1" customWidth="1"/>
    <col min="4855" max="4856" width="8.7109375" style="228" customWidth="1"/>
    <col min="4857" max="4857" width="18.42578125" style="228" customWidth="1"/>
    <col min="4858" max="4863" width="15" style="228" customWidth="1"/>
    <col min="4864" max="4864" width="21.7109375" style="228" bestFit="1" customWidth="1"/>
    <col min="4865" max="4865" width="7.28515625" style="228" customWidth="1"/>
    <col min="4866" max="4866" width="14.85546875" style="228" customWidth="1"/>
    <col min="4867" max="4867" width="15.140625" style="228" bestFit="1" customWidth="1"/>
    <col min="4868" max="4868" width="25.42578125" style="228" customWidth="1"/>
    <col min="4869" max="4869" width="5.85546875" style="228" bestFit="1" customWidth="1"/>
    <col min="4870" max="4870" width="6.7109375" style="228" bestFit="1" customWidth="1"/>
    <col min="4871" max="4875" width="8.42578125" style="228" bestFit="1" customWidth="1"/>
    <col min="4876" max="4878" width="14" style="228" customWidth="1"/>
    <col min="4879" max="5072" width="9.140625" style="228"/>
    <col min="5073" max="5074" width="8.7109375" style="228" customWidth="1"/>
    <col min="5075" max="5075" width="4.7109375" style="228" customWidth="1"/>
    <col min="5076" max="5076" width="10.7109375" style="228" customWidth="1"/>
    <col min="5077" max="5077" width="5.7109375" style="228" customWidth="1"/>
    <col min="5078" max="5078" width="3.28515625" style="228" bestFit="1" customWidth="1"/>
    <col min="5079" max="5079" width="8.7109375" style="228" customWidth="1"/>
    <col min="5080" max="5080" width="4.7109375" style="228" customWidth="1"/>
    <col min="5081" max="5081" width="10.7109375" style="228" customWidth="1"/>
    <col min="5082" max="5082" width="5.7109375" style="228" customWidth="1"/>
    <col min="5083" max="5083" width="3.28515625" style="228" customWidth="1"/>
    <col min="5084" max="5084" width="8.42578125" style="228" bestFit="1" customWidth="1"/>
    <col min="5085" max="5085" width="8.85546875" style="228" customWidth="1"/>
    <col min="5086" max="5096" width="10.7109375" style="228" customWidth="1"/>
    <col min="5097" max="5097" width="13.28515625" style="228" customWidth="1"/>
    <col min="5098" max="5098" width="9.28515625" style="228" bestFit="1" customWidth="1"/>
    <col min="5099" max="5099" width="15.7109375" style="228" customWidth="1"/>
    <col min="5100" max="5100" width="7" style="228" customWidth="1"/>
    <col min="5101" max="5102" width="13" style="228" customWidth="1"/>
    <col min="5103" max="5109" width="18.7109375" style="228" customWidth="1"/>
    <col min="5110" max="5110" width="21.7109375" style="228" bestFit="1" customWidth="1"/>
    <col min="5111" max="5112" width="8.7109375" style="228" customWidth="1"/>
    <col min="5113" max="5113" width="18.42578125" style="228" customWidth="1"/>
    <col min="5114" max="5119" width="15" style="228" customWidth="1"/>
    <col min="5120" max="5120" width="21.7109375" style="228" bestFit="1" customWidth="1"/>
    <col min="5121" max="5121" width="7.28515625" style="228" customWidth="1"/>
    <col min="5122" max="5122" width="14.85546875" style="228" customWidth="1"/>
    <col min="5123" max="5123" width="15.140625" style="228" bestFit="1" customWidth="1"/>
    <col min="5124" max="5124" width="25.42578125" style="228" customWidth="1"/>
    <col min="5125" max="5125" width="5.85546875" style="228" bestFit="1" customWidth="1"/>
    <col min="5126" max="5126" width="6.7109375" style="228" bestFit="1" customWidth="1"/>
    <col min="5127" max="5131" width="8.42578125" style="228" bestFit="1" customWidth="1"/>
    <col min="5132" max="5134" width="14" style="228" customWidth="1"/>
    <col min="5135" max="5328" width="9.140625" style="228"/>
    <col min="5329" max="5330" width="8.7109375" style="228" customWidth="1"/>
    <col min="5331" max="5331" width="4.7109375" style="228" customWidth="1"/>
    <col min="5332" max="5332" width="10.7109375" style="228" customWidth="1"/>
    <col min="5333" max="5333" width="5.7109375" style="228" customWidth="1"/>
    <col min="5334" max="5334" width="3.28515625" style="228" bestFit="1" customWidth="1"/>
    <col min="5335" max="5335" width="8.7109375" style="228" customWidth="1"/>
    <col min="5336" max="5336" width="4.7109375" style="228" customWidth="1"/>
    <col min="5337" max="5337" width="10.7109375" style="228" customWidth="1"/>
    <col min="5338" max="5338" width="5.7109375" style="228" customWidth="1"/>
    <col min="5339" max="5339" width="3.28515625" style="228" customWidth="1"/>
    <col min="5340" max="5340" width="8.42578125" style="228" bestFit="1" customWidth="1"/>
    <col min="5341" max="5341" width="8.85546875" style="228" customWidth="1"/>
    <col min="5342" max="5352" width="10.7109375" style="228" customWidth="1"/>
    <col min="5353" max="5353" width="13.28515625" style="228" customWidth="1"/>
    <col min="5354" max="5354" width="9.28515625" style="228" bestFit="1" customWidth="1"/>
    <col min="5355" max="5355" width="15.7109375" style="228" customWidth="1"/>
    <col min="5356" max="5356" width="7" style="228" customWidth="1"/>
    <col min="5357" max="5358" width="13" style="228" customWidth="1"/>
    <col min="5359" max="5365" width="18.7109375" style="228" customWidth="1"/>
    <col min="5366" max="5366" width="21.7109375" style="228" bestFit="1" customWidth="1"/>
    <col min="5367" max="5368" width="8.7109375" style="228" customWidth="1"/>
    <col min="5369" max="5369" width="18.42578125" style="228" customWidth="1"/>
    <col min="5370" max="5375" width="15" style="228" customWidth="1"/>
    <col min="5376" max="5376" width="21.7109375" style="228" bestFit="1" customWidth="1"/>
    <col min="5377" max="5377" width="7.28515625" style="228" customWidth="1"/>
    <col min="5378" max="5378" width="14.85546875" style="228" customWidth="1"/>
    <col min="5379" max="5379" width="15.140625" style="228" bestFit="1" customWidth="1"/>
    <col min="5380" max="5380" width="25.42578125" style="228" customWidth="1"/>
    <col min="5381" max="5381" width="5.85546875" style="228" bestFit="1" customWidth="1"/>
    <col min="5382" max="5382" width="6.7109375" style="228" bestFit="1" customWidth="1"/>
    <col min="5383" max="5387" width="8.42578125" style="228" bestFit="1" customWidth="1"/>
    <col min="5388" max="5390" width="14" style="228" customWidth="1"/>
    <col min="5391" max="5584" width="9.140625" style="228"/>
    <col min="5585" max="5586" width="8.7109375" style="228" customWidth="1"/>
    <col min="5587" max="5587" width="4.7109375" style="228" customWidth="1"/>
    <col min="5588" max="5588" width="10.7109375" style="228" customWidth="1"/>
    <col min="5589" max="5589" width="5.7109375" style="228" customWidth="1"/>
    <col min="5590" max="5590" width="3.28515625" style="228" bestFit="1" customWidth="1"/>
    <col min="5591" max="5591" width="8.7109375" style="228" customWidth="1"/>
    <col min="5592" max="5592" width="4.7109375" style="228" customWidth="1"/>
    <col min="5593" max="5593" width="10.7109375" style="228" customWidth="1"/>
    <col min="5594" max="5594" width="5.7109375" style="228" customWidth="1"/>
    <col min="5595" max="5595" width="3.28515625" style="228" customWidth="1"/>
    <col min="5596" max="5596" width="8.42578125" style="228" bestFit="1" customWidth="1"/>
    <col min="5597" max="5597" width="8.85546875" style="228" customWidth="1"/>
    <col min="5598" max="5608" width="10.7109375" style="228" customWidth="1"/>
    <col min="5609" max="5609" width="13.28515625" style="228" customWidth="1"/>
    <col min="5610" max="5610" width="9.28515625" style="228" bestFit="1" customWidth="1"/>
    <col min="5611" max="5611" width="15.7109375" style="228" customWidth="1"/>
    <col min="5612" max="5612" width="7" style="228" customWidth="1"/>
    <col min="5613" max="5614" width="13" style="228" customWidth="1"/>
    <col min="5615" max="5621" width="18.7109375" style="228" customWidth="1"/>
    <col min="5622" max="5622" width="21.7109375" style="228" bestFit="1" customWidth="1"/>
    <col min="5623" max="5624" width="8.7109375" style="228" customWidth="1"/>
    <col min="5625" max="5625" width="18.42578125" style="228" customWidth="1"/>
    <col min="5626" max="5631" width="15" style="228" customWidth="1"/>
    <col min="5632" max="5632" width="21.7109375" style="228" bestFit="1" customWidth="1"/>
    <col min="5633" max="5633" width="7.28515625" style="228" customWidth="1"/>
    <col min="5634" max="5634" width="14.85546875" style="228" customWidth="1"/>
    <col min="5635" max="5635" width="15.140625" style="228" bestFit="1" customWidth="1"/>
    <col min="5636" max="5636" width="25.42578125" style="228" customWidth="1"/>
    <col min="5637" max="5637" width="5.85546875" style="228" bestFit="1" customWidth="1"/>
    <col min="5638" max="5638" width="6.7109375" style="228" bestFit="1" customWidth="1"/>
    <col min="5639" max="5643" width="8.42578125" style="228" bestFit="1" customWidth="1"/>
    <col min="5644" max="5646" width="14" style="228" customWidth="1"/>
    <col min="5647" max="5840" width="9.140625" style="228"/>
    <col min="5841" max="5842" width="8.7109375" style="228" customWidth="1"/>
    <col min="5843" max="5843" width="4.7109375" style="228" customWidth="1"/>
    <col min="5844" max="5844" width="10.7109375" style="228" customWidth="1"/>
    <col min="5845" max="5845" width="5.7109375" style="228" customWidth="1"/>
    <col min="5846" max="5846" width="3.28515625" style="228" bestFit="1" customWidth="1"/>
    <col min="5847" max="5847" width="8.7109375" style="228" customWidth="1"/>
    <col min="5848" max="5848" width="4.7109375" style="228" customWidth="1"/>
    <col min="5849" max="5849" width="10.7109375" style="228" customWidth="1"/>
    <col min="5850" max="5850" width="5.7109375" style="228" customWidth="1"/>
    <col min="5851" max="5851" width="3.28515625" style="228" customWidth="1"/>
    <col min="5852" max="5852" width="8.42578125" style="228" bestFit="1" customWidth="1"/>
    <col min="5853" max="5853" width="8.85546875" style="228" customWidth="1"/>
    <col min="5854" max="5864" width="10.7109375" style="228" customWidth="1"/>
    <col min="5865" max="5865" width="13.28515625" style="228" customWidth="1"/>
    <col min="5866" max="5866" width="9.28515625" style="228" bestFit="1" customWidth="1"/>
    <col min="5867" max="5867" width="15.7109375" style="228" customWidth="1"/>
    <col min="5868" max="5868" width="7" style="228" customWidth="1"/>
    <col min="5869" max="5870" width="13" style="228" customWidth="1"/>
    <col min="5871" max="5877" width="18.7109375" style="228" customWidth="1"/>
    <col min="5878" max="5878" width="21.7109375" style="228" bestFit="1" customWidth="1"/>
    <col min="5879" max="5880" width="8.7109375" style="228" customWidth="1"/>
    <col min="5881" max="5881" width="18.42578125" style="228" customWidth="1"/>
    <col min="5882" max="5887" width="15" style="228" customWidth="1"/>
    <col min="5888" max="5888" width="21.7109375" style="228" bestFit="1" customWidth="1"/>
    <col min="5889" max="5889" width="7.28515625" style="228" customWidth="1"/>
    <col min="5890" max="5890" width="14.85546875" style="228" customWidth="1"/>
    <col min="5891" max="5891" width="15.140625" style="228" bestFit="1" customWidth="1"/>
    <col min="5892" max="5892" width="25.42578125" style="228" customWidth="1"/>
    <col min="5893" max="5893" width="5.85546875" style="228" bestFit="1" customWidth="1"/>
    <col min="5894" max="5894" width="6.7109375" style="228" bestFit="1" customWidth="1"/>
    <col min="5895" max="5899" width="8.42578125" style="228" bestFit="1" customWidth="1"/>
    <col min="5900" max="5902" width="14" style="228" customWidth="1"/>
    <col min="5903" max="6096" width="9.140625" style="228"/>
    <col min="6097" max="6098" width="8.7109375" style="228" customWidth="1"/>
    <col min="6099" max="6099" width="4.7109375" style="228" customWidth="1"/>
    <col min="6100" max="6100" width="10.7109375" style="228" customWidth="1"/>
    <col min="6101" max="6101" width="5.7109375" style="228" customWidth="1"/>
    <col min="6102" max="6102" width="3.28515625" style="228" bestFit="1" customWidth="1"/>
    <col min="6103" max="6103" width="8.7109375" style="228" customWidth="1"/>
    <col min="6104" max="6104" width="4.7109375" style="228" customWidth="1"/>
    <col min="6105" max="6105" width="10.7109375" style="228" customWidth="1"/>
    <col min="6106" max="6106" width="5.7109375" style="228" customWidth="1"/>
    <col min="6107" max="6107" width="3.28515625" style="228" customWidth="1"/>
    <col min="6108" max="6108" width="8.42578125" style="228" bestFit="1" customWidth="1"/>
    <col min="6109" max="6109" width="8.85546875" style="228" customWidth="1"/>
    <col min="6110" max="6120" width="10.7109375" style="228" customWidth="1"/>
    <col min="6121" max="6121" width="13.28515625" style="228" customWidth="1"/>
    <col min="6122" max="6122" width="9.28515625" style="228" bestFit="1" customWidth="1"/>
    <col min="6123" max="6123" width="15.7109375" style="228" customWidth="1"/>
    <col min="6124" max="6124" width="7" style="228" customWidth="1"/>
    <col min="6125" max="6126" width="13" style="228" customWidth="1"/>
    <col min="6127" max="6133" width="18.7109375" style="228" customWidth="1"/>
    <col min="6134" max="6134" width="21.7109375" style="228" bestFit="1" customWidth="1"/>
    <col min="6135" max="6136" width="8.7109375" style="228" customWidth="1"/>
    <col min="6137" max="6137" width="18.42578125" style="228" customWidth="1"/>
    <col min="6138" max="6143" width="15" style="228" customWidth="1"/>
    <col min="6144" max="6144" width="21.7109375" style="228" bestFit="1" customWidth="1"/>
    <col min="6145" max="6145" width="7.28515625" style="228" customWidth="1"/>
    <col min="6146" max="6146" width="14.85546875" style="228" customWidth="1"/>
    <col min="6147" max="6147" width="15.140625" style="228" bestFit="1" customWidth="1"/>
    <col min="6148" max="6148" width="25.42578125" style="228" customWidth="1"/>
    <col min="6149" max="6149" width="5.85546875" style="228" bestFit="1" customWidth="1"/>
    <col min="6150" max="6150" width="6.7109375" style="228" bestFit="1" customWidth="1"/>
    <col min="6151" max="6155" width="8.42578125" style="228" bestFit="1" customWidth="1"/>
    <col min="6156" max="6158" width="14" style="228" customWidth="1"/>
    <col min="6159" max="6352" width="9.140625" style="228"/>
    <col min="6353" max="6354" width="8.7109375" style="228" customWidth="1"/>
    <col min="6355" max="6355" width="4.7109375" style="228" customWidth="1"/>
    <col min="6356" max="6356" width="10.7109375" style="228" customWidth="1"/>
    <col min="6357" max="6357" width="5.7109375" style="228" customWidth="1"/>
    <col min="6358" max="6358" width="3.28515625" style="228" bestFit="1" customWidth="1"/>
    <col min="6359" max="6359" width="8.7109375" style="228" customWidth="1"/>
    <col min="6360" max="6360" width="4.7109375" style="228" customWidth="1"/>
    <col min="6361" max="6361" width="10.7109375" style="228" customWidth="1"/>
    <col min="6362" max="6362" width="5.7109375" style="228" customWidth="1"/>
    <col min="6363" max="6363" width="3.28515625" style="228" customWidth="1"/>
    <col min="6364" max="6364" width="8.42578125" style="228" bestFit="1" customWidth="1"/>
    <col min="6365" max="6365" width="8.85546875" style="228" customWidth="1"/>
    <col min="6366" max="6376" width="10.7109375" style="228" customWidth="1"/>
    <col min="6377" max="6377" width="13.28515625" style="228" customWidth="1"/>
    <col min="6378" max="6378" width="9.28515625" style="228" bestFit="1" customWidth="1"/>
    <col min="6379" max="6379" width="15.7109375" style="228" customWidth="1"/>
    <col min="6380" max="6380" width="7" style="228" customWidth="1"/>
    <col min="6381" max="6382" width="13" style="228" customWidth="1"/>
    <col min="6383" max="6389" width="18.7109375" style="228" customWidth="1"/>
    <col min="6390" max="6390" width="21.7109375" style="228" bestFit="1" customWidth="1"/>
    <col min="6391" max="6392" width="8.7109375" style="228" customWidth="1"/>
    <col min="6393" max="6393" width="18.42578125" style="228" customWidth="1"/>
    <col min="6394" max="6399" width="15" style="228" customWidth="1"/>
    <col min="6400" max="6400" width="21.7109375" style="228" bestFit="1" customWidth="1"/>
    <col min="6401" max="6401" width="7.28515625" style="228" customWidth="1"/>
    <col min="6402" max="6402" width="14.85546875" style="228" customWidth="1"/>
    <col min="6403" max="6403" width="15.140625" style="228" bestFit="1" customWidth="1"/>
    <col min="6404" max="6404" width="25.42578125" style="228" customWidth="1"/>
    <col min="6405" max="6405" width="5.85546875" style="228" bestFit="1" customWidth="1"/>
    <col min="6406" max="6406" width="6.7109375" style="228" bestFit="1" customWidth="1"/>
    <col min="6407" max="6411" width="8.42578125" style="228" bestFit="1" customWidth="1"/>
    <col min="6412" max="6414" width="14" style="228" customWidth="1"/>
    <col min="6415" max="6608" width="9.140625" style="228"/>
    <col min="6609" max="6610" width="8.7109375" style="228" customWidth="1"/>
    <col min="6611" max="6611" width="4.7109375" style="228" customWidth="1"/>
    <col min="6612" max="6612" width="10.7109375" style="228" customWidth="1"/>
    <col min="6613" max="6613" width="5.7109375" style="228" customWidth="1"/>
    <col min="6614" max="6614" width="3.28515625" style="228" bestFit="1" customWidth="1"/>
    <col min="6615" max="6615" width="8.7109375" style="228" customWidth="1"/>
    <col min="6616" max="6616" width="4.7109375" style="228" customWidth="1"/>
    <col min="6617" max="6617" width="10.7109375" style="228" customWidth="1"/>
    <col min="6618" max="6618" width="5.7109375" style="228" customWidth="1"/>
    <col min="6619" max="6619" width="3.28515625" style="228" customWidth="1"/>
    <col min="6620" max="6620" width="8.42578125" style="228" bestFit="1" customWidth="1"/>
    <col min="6621" max="6621" width="8.85546875" style="228" customWidth="1"/>
    <col min="6622" max="6632" width="10.7109375" style="228" customWidth="1"/>
    <col min="6633" max="6633" width="13.28515625" style="228" customWidth="1"/>
    <col min="6634" max="6634" width="9.28515625" style="228" bestFit="1" customWidth="1"/>
    <col min="6635" max="6635" width="15.7109375" style="228" customWidth="1"/>
    <col min="6636" max="6636" width="7" style="228" customWidth="1"/>
    <col min="6637" max="6638" width="13" style="228" customWidth="1"/>
    <col min="6639" max="6645" width="18.7109375" style="228" customWidth="1"/>
    <col min="6646" max="6646" width="21.7109375" style="228" bestFit="1" customWidth="1"/>
    <col min="6647" max="6648" width="8.7109375" style="228" customWidth="1"/>
    <col min="6649" max="6649" width="18.42578125" style="228" customWidth="1"/>
    <col min="6650" max="6655" width="15" style="228" customWidth="1"/>
    <col min="6656" max="6656" width="21.7109375" style="228" bestFit="1" customWidth="1"/>
    <col min="6657" max="6657" width="7.28515625" style="228" customWidth="1"/>
    <col min="6658" max="6658" width="14.85546875" style="228" customWidth="1"/>
    <col min="6659" max="6659" width="15.140625" style="228" bestFit="1" customWidth="1"/>
    <col min="6660" max="6660" width="25.42578125" style="228" customWidth="1"/>
    <col min="6661" max="6661" width="5.85546875" style="228" bestFit="1" customWidth="1"/>
    <col min="6662" max="6662" width="6.7109375" style="228" bestFit="1" customWidth="1"/>
    <col min="6663" max="6667" width="8.42578125" style="228" bestFit="1" customWidth="1"/>
    <col min="6668" max="6670" width="14" style="228" customWidth="1"/>
    <col min="6671" max="6864" width="9.140625" style="228"/>
    <col min="6865" max="6866" width="8.7109375" style="228" customWidth="1"/>
    <col min="6867" max="6867" width="4.7109375" style="228" customWidth="1"/>
    <col min="6868" max="6868" width="10.7109375" style="228" customWidth="1"/>
    <col min="6869" max="6869" width="5.7109375" style="228" customWidth="1"/>
    <col min="6870" max="6870" width="3.28515625" style="228" bestFit="1" customWidth="1"/>
    <col min="6871" max="6871" width="8.7109375" style="228" customWidth="1"/>
    <col min="6872" max="6872" width="4.7109375" style="228" customWidth="1"/>
    <col min="6873" max="6873" width="10.7109375" style="228" customWidth="1"/>
    <col min="6874" max="6874" width="5.7109375" style="228" customWidth="1"/>
    <col min="6875" max="6875" width="3.28515625" style="228" customWidth="1"/>
    <col min="6876" max="6876" width="8.42578125" style="228" bestFit="1" customWidth="1"/>
    <col min="6877" max="6877" width="8.85546875" style="228" customWidth="1"/>
    <col min="6878" max="6888" width="10.7109375" style="228" customWidth="1"/>
    <col min="6889" max="6889" width="13.28515625" style="228" customWidth="1"/>
    <col min="6890" max="6890" width="9.28515625" style="228" bestFit="1" customWidth="1"/>
    <col min="6891" max="6891" width="15.7109375" style="228" customWidth="1"/>
    <col min="6892" max="6892" width="7" style="228" customWidth="1"/>
    <col min="6893" max="6894" width="13" style="228" customWidth="1"/>
    <col min="6895" max="6901" width="18.7109375" style="228" customWidth="1"/>
    <col min="6902" max="6902" width="21.7109375" style="228" bestFit="1" customWidth="1"/>
    <col min="6903" max="6904" width="8.7109375" style="228" customWidth="1"/>
    <col min="6905" max="6905" width="18.42578125" style="228" customWidth="1"/>
    <col min="6906" max="6911" width="15" style="228" customWidth="1"/>
    <col min="6912" max="6912" width="21.7109375" style="228" bestFit="1" customWidth="1"/>
    <col min="6913" max="6913" width="7.28515625" style="228" customWidth="1"/>
    <col min="6914" max="6914" width="14.85546875" style="228" customWidth="1"/>
    <col min="6915" max="6915" width="15.140625" style="228" bestFit="1" customWidth="1"/>
    <col min="6916" max="6916" width="25.42578125" style="228" customWidth="1"/>
    <col min="6917" max="6917" width="5.85546875" style="228" bestFit="1" customWidth="1"/>
    <col min="6918" max="6918" width="6.7109375" style="228" bestFit="1" customWidth="1"/>
    <col min="6919" max="6923" width="8.42578125" style="228" bestFit="1" customWidth="1"/>
    <col min="6924" max="6926" width="14" style="228" customWidth="1"/>
    <col min="6927" max="7120" width="9.140625" style="228"/>
    <col min="7121" max="7122" width="8.7109375" style="228" customWidth="1"/>
    <col min="7123" max="7123" width="4.7109375" style="228" customWidth="1"/>
    <col min="7124" max="7124" width="10.7109375" style="228" customWidth="1"/>
    <col min="7125" max="7125" width="5.7109375" style="228" customWidth="1"/>
    <col min="7126" max="7126" width="3.28515625" style="228" bestFit="1" customWidth="1"/>
    <col min="7127" max="7127" width="8.7109375" style="228" customWidth="1"/>
    <col min="7128" max="7128" width="4.7109375" style="228" customWidth="1"/>
    <col min="7129" max="7129" width="10.7109375" style="228" customWidth="1"/>
    <col min="7130" max="7130" width="5.7109375" style="228" customWidth="1"/>
    <col min="7131" max="7131" width="3.28515625" style="228" customWidth="1"/>
    <col min="7132" max="7132" width="8.42578125" style="228" bestFit="1" customWidth="1"/>
    <col min="7133" max="7133" width="8.85546875" style="228" customWidth="1"/>
    <col min="7134" max="7144" width="10.7109375" style="228" customWidth="1"/>
    <col min="7145" max="7145" width="13.28515625" style="228" customWidth="1"/>
    <col min="7146" max="7146" width="9.28515625" style="228" bestFit="1" customWidth="1"/>
    <col min="7147" max="7147" width="15.7109375" style="228" customWidth="1"/>
    <col min="7148" max="7148" width="7" style="228" customWidth="1"/>
    <col min="7149" max="7150" width="13" style="228" customWidth="1"/>
    <col min="7151" max="7157" width="18.7109375" style="228" customWidth="1"/>
    <col min="7158" max="7158" width="21.7109375" style="228" bestFit="1" customWidth="1"/>
    <col min="7159" max="7160" width="8.7109375" style="228" customWidth="1"/>
    <col min="7161" max="7161" width="18.42578125" style="228" customWidth="1"/>
    <col min="7162" max="7167" width="15" style="228" customWidth="1"/>
    <col min="7168" max="7168" width="21.7109375" style="228" bestFit="1" customWidth="1"/>
    <col min="7169" max="7169" width="7.28515625" style="228" customWidth="1"/>
    <col min="7170" max="7170" width="14.85546875" style="228" customWidth="1"/>
    <col min="7171" max="7171" width="15.140625" style="228" bestFit="1" customWidth="1"/>
    <col min="7172" max="7172" width="25.42578125" style="228" customWidth="1"/>
    <col min="7173" max="7173" width="5.85546875" style="228" bestFit="1" customWidth="1"/>
    <col min="7174" max="7174" width="6.7109375" style="228" bestFit="1" customWidth="1"/>
    <col min="7175" max="7179" width="8.42578125" style="228" bestFit="1" customWidth="1"/>
    <col min="7180" max="7182" width="14" style="228" customWidth="1"/>
    <col min="7183" max="7376" width="9.140625" style="228"/>
    <col min="7377" max="7378" width="8.7109375" style="228" customWidth="1"/>
    <col min="7379" max="7379" width="4.7109375" style="228" customWidth="1"/>
    <col min="7380" max="7380" width="10.7109375" style="228" customWidth="1"/>
    <col min="7381" max="7381" width="5.7109375" style="228" customWidth="1"/>
    <col min="7382" max="7382" width="3.28515625" style="228" bestFit="1" customWidth="1"/>
    <col min="7383" max="7383" width="8.7109375" style="228" customWidth="1"/>
    <col min="7384" max="7384" width="4.7109375" style="228" customWidth="1"/>
    <col min="7385" max="7385" width="10.7109375" style="228" customWidth="1"/>
    <col min="7386" max="7386" width="5.7109375" style="228" customWidth="1"/>
    <col min="7387" max="7387" width="3.28515625" style="228" customWidth="1"/>
    <col min="7388" max="7388" width="8.42578125" style="228" bestFit="1" customWidth="1"/>
    <col min="7389" max="7389" width="8.85546875" style="228" customWidth="1"/>
    <col min="7390" max="7400" width="10.7109375" style="228" customWidth="1"/>
    <col min="7401" max="7401" width="13.28515625" style="228" customWidth="1"/>
    <col min="7402" max="7402" width="9.28515625" style="228" bestFit="1" customWidth="1"/>
    <col min="7403" max="7403" width="15.7109375" style="228" customWidth="1"/>
    <col min="7404" max="7404" width="7" style="228" customWidth="1"/>
    <col min="7405" max="7406" width="13" style="228" customWidth="1"/>
    <col min="7407" max="7413" width="18.7109375" style="228" customWidth="1"/>
    <col min="7414" max="7414" width="21.7109375" style="228" bestFit="1" customWidth="1"/>
    <col min="7415" max="7416" width="8.7109375" style="228" customWidth="1"/>
    <col min="7417" max="7417" width="18.42578125" style="228" customWidth="1"/>
    <col min="7418" max="7423" width="15" style="228" customWidth="1"/>
    <col min="7424" max="7424" width="21.7109375" style="228" bestFit="1" customWidth="1"/>
    <col min="7425" max="7425" width="7.28515625" style="228" customWidth="1"/>
    <col min="7426" max="7426" width="14.85546875" style="228" customWidth="1"/>
    <col min="7427" max="7427" width="15.140625" style="228" bestFit="1" customWidth="1"/>
    <col min="7428" max="7428" width="25.42578125" style="228" customWidth="1"/>
    <col min="7429" max="7429" width="5.85546875" style="228" bestFit="1" customWidth="1"/>
    <col min="7430" max="7430" width="6.7109375" style="228" bestFit="1" customWidth="1"/>
    <col min="7431" max="7435" width="8.42578125" style="228" bestFit="1" customWidth="1"/>
    <col min="7436" max="7438" width="14" style="228" customWidth="1"/>
    <col min="7439" max="7632" width="9.140625" style="228"/>
    <col min="7633" max="7634" width="8.7109375" style="228" customWidth="1"/>
    <col min="7635" max="7635" width="4.7109375" style="228" customWidth="1"/>
    <col min="7636" max="7636" width="10.7109375" style="228" customWidth="1"/>
    <col min="7637" max="7637" width="5.7109375" style="228" customWidth="1"/>
    <col min="7638" max="7638" width="3.28515625" style="228" bestFit="1" customWidth="1"/>
    <col min="7639" max="7639" width="8.7109375" style="228" customWidth="1"/>
    <col min="7640" max="7640" width="4.7109375" style="228" customWidth="1"/>
    <col min="7641" max="7641" width="10.7109375" style="228" customWidth="1"/>
    <col min="7642" max="7642" width="5.7109375" style="228" customWidth="1"/>
    <col min="7643" max="7643" width="3.28515625" style="228" customWidth="1"/>
    <col min="7644" max="7644" width="8.42578125" style="228" bestFit="1" customWidth="1"/>
    <col min="7645" max="7645" width="8.85546875" style="228" customWidth="1"/>
    <col min="7646" max="7656" width="10.7109375" style="228" customWidth="1"/>
    <col min="7657" max="7657" width="13.28515625" style="228" customWidth="1"/>
    <col min="7658" max="7658" width="9.28515625" style="228" bestFit="1" customWidth="1"/>
    <col min="7659" max="7659" width="15.7109375" style="228" customWidth="1"/>
    <col min="7660" max="7660" width="7" style="228" customWidth="1"/>
    <col min="7661" max="7662" width="13" style="228" customWidth="1"/>
    <col min="7663" max="7669" width="18.7109375" style="228" customWidth="1"/>
    <col min="7670" max="7670" width="21.7109375" style="228" bestFit="1" customWidth="1"/>
    <col min="7671" max="7672" width="8.7109375" style="228" customWidth="1"/>
    <col min="7673" max="7673" width="18.42578125" style="228" customWidth="1"/>
    <col min="7674" max="7679" width="15" style="228" customWidth="1"/>
    <col min="7680" max="7680" width="21.7109375" style="228" bestFit="1" customWidth="1"/>
    <col min="7681" max="7681" width="7.28515625" style="228" customWidth="1"/>
    <col min="7682" max="7682" width="14.85546875" style="228" customWidth="1"/>
    <col min="7683" max="7683" width="15.140625" style="228" bestFit="1" customWidth="1"/>
    <col min="7684" max="7684" width="25.42578125" style="228" customWidth="1"/>
    <col min="7685" max="7685" width="5.85546875" style="228" bestFit="1" customWidth="1"/>
    <col min="7686" max="7686" width="6.7109375" style="228" bestFit="1" customWidth="1"/>
    <col min="7687" max="7691" width="8.42578125" style="228" bestFit="1" customWidth="1"/>
    <col min="7692" max="7694" width="14" style="228" customWidth="1"/>
    <col min="7695" max="7888" width="9.140625" style="228"/>
    <col min="7889" max="7890" width="8.7109375" style="228" customWidth="1"/>
    <col min="7891" max="7891" width="4.7109375" style="228" customWidth="1"/>
    <col min="7892" max="7892" width="10.7109375" style="228" customWidth="1"/>
    <col min="7893" max="7893" width="5.7109375" style="228" customWidth="1"/>
    <col min="7894" max="7894" width="3.28515625" style="228" bestFit="1" customWidth="1"/>
    <col min="7895" max="7895" width="8.7109375" style="228" customWidth="1"/>
    <col min="7896" max="7896" width="4.7109375" style="228" customWidth="1"/>
    <col min="7897" max="7897" width="10.7109375" style="228" customWidth="1"/>
    <col min="7898" max="7898" width="5.7109375" style="228" customWidth="1"/>
    <col min="7899" max="7899" width="3.28515625" style="228" customWidth="1"/>
    <col min="7900" max="7900" width="8.42578125" style="228" bestFit="1" customWidth="1"/>
    <col min="7901" max="7901" width="8.85546875" style="228" customWidth="1"/>
    <col min="7902" max="7912" width="10.7109375" style="228" customWidth="1"/>
    <col min="7913" max="7913" width="13.28515625" style="228" customWidth="1"/>
    <col min="7914" max="7914" width="9.28515625" style="228" bestFit="1" customWidth="1"/>
    <col min="7915" max="7915" width="15.7109375" style="228" customWidth="1"/>
    <col min="7916" max="7916" width="7" style="228" customWidth="1"/>
    <col min="7917" max="7918" width="13" style="228" customWidth="1"/>
    <col min="7919" max="7925" width="18.7109375" style="228" customWidth="1"/>
    <col min="7926" max="7926" width="21.7109375" style="228" bestFit="1" customWidth="1"/>
    <col min="7927" max="7928" width="8.7109375" style="228" customWidth="1"/>
    <col min="7929" max="7929" width="18.42578125" style="228" customWidth="1"/>
    <col min="7930" max="7935" width="15" style="228" customWidth="1"/>
    <col min="7936" max="7936" width="21.7109375" style="228" bestFit="1" customWidth="1"/>
    <col min="7937" max="7937" width="7.28515625" style="228" customWidth="1"/>
    <col min="7938" max="7938" width="14.85546875" style="228" customWidth="1"/>
    <col min="7939" max="7939" width="15.140625" style="228" bestFit="1" customWidth="1"/>
    <col min="7940" max="7940" width="25.42578125" style="228" customWidth="1"/>
    <col min="7941" max="7941" width="5.85546875" style="228" bestFit="1" customWidth="1"/>
    <col min="7942" max="7942" width="6.7109375" style="228" bestFit="1" customWidth="1"/>
    <col min="7943" max="7947" width="8.42578125" style="228" bestFit="1" customWidth="1"/>
    <col min="7948" max="7950" width="14" style="228" customWidth="1"/>
    <col min="7951" max="8144" width="9.140625" style="228"/>
    <col min="8145" max="8146" width="8.7109375" style="228" customWidth="1"/>
    <col min="8147" max="8147" width="4.7109375" style="228" customWidth="1"/>
    <col min="8148" max="8148" width="10.7109375" style="228" customWidth="1"/>
    <col min="8149" max="8149" width="5.7109375" style="228" customWidth="1"/>
    <col min="8150" max="8150" width="3.28515625" style="228" bestFit="1" customWidth="1"/>
    <col min="8151" max="8151" width="8.7109375" style="228" customWidth="1"/>
    <col min="8152" max="8152" width="4.7109375" style="228" customWidth="1"/>
    <col min="8153" max="8153" width="10.7109375" style="228" customWidth="1"/>
    <col min="8154" max="8154" width="5.7109375" style="228" customWidth="1"/>
    <col min="8155" max="8155" width="3.28515625" style="228" customWidth="1"/>
    <col min="8156" max="8156" width="8.42578125" style="228" bestFit="1" customWidth="1"/>
    <col min="8157" max="8157" width="8.85546875" style="228" customWidth="1"/>
    <col min="8158" max="8168" width="10.7109375" style="228" customWidth="1"/>
    <col min="8169" max="8169" width="13.28515625" style="228" customWidth="1"/>
    <col min="8170" max="8170" width="9.28515625" style="228" bestFit="1" customWidth="1"/>
    <col min="8171" max="8171" width="15.7109375" style="228" customWidth="1"/>
    <col min="8172" max="8172" width="7" style="228" customWidth="1"/>
    <col min="8173" max="8174" width="13" style="228" customWidth="1"/>
    <col min="8175" max="8181" width="18.7109375" style="228" customWidth="1"/>
    <col min="8182" max="8182" width="21.7109375" style="228" bestFit="1" customWidth="1"/>
    <col min="8183" max="8184" width="8.7109375" style="228" customWidth="1"/>
    <col min="8185" max="8185" width="18.42578125" style="228" customWidth="1"/>
    <col min="8186" max="8191" width="15" style="228" customWidth="1"/>
    <col min="8192" max="8192" width="21.7109375" style="228" bestFit="1" customWidth="1"/>
    <col min="8193" max="8193" width="7.28515625" style="228" customWidth="1"/>
    <col min="8194" max="8194" width="14.85546875" style="228" customWidth="1"/>
    <col min="8195" max="8195" width="15.140625" style="228" bestFit="1" customWidth="1"/>
    <col min="8196" max="8196" width="25.42578125" style="228" customWidth="1"/>
    <col min="8197" max="8197" width="5.85546875" style="228" bestFit="1" customWidth="1"/>
    <col min="8198" max="8198" width="6.7109375" style="228" bestFit="1" customWidth="1"/>
    <col min="8199" max="8203" width="8.42578125" style="228" bestFit="1" customWidth="1"/>
    <col min="8204" max="8206" width="14" style="228" customWidth="1"/>
    <col min="8207" max="8400" width="9.140625" style="228"/>
    <col min="8401" max="8402" width="8.7109375" style="228" customWidth="1"/>
    <col min="8403" max="8403" width="4.7109375" style="228" customWidth="1"/>
    <col min="8404" max="8404" width="10.7109375" style="228" customWidth="1"/>
    <col min="8405" max="8405" width="5.7109375" style="228" customWidth="1"/>
    <col min="8406" max="8406" width="3.28515625" style="228" bestFit="1" customWidth="1"/>
    <col min="8407" max="8407" width="8.7109375" style="228" customWidth="1"/>
    <col min="8408" max="8408" width="4.7109375" style="228" customWidth="1"/>
    <col min="8409" max="8409" width="10.7109375" style="228" customWidth="1"/>
    <col min="8410" max="8410" width="5.7109375" style="228" customWidth="1"/>
    <col min="8411" max="8411" width="3.28515625" style="228" customWidth="1"/>
    <col min="8412" max="8412" width="8.42578125" style="228" bestFit="1" customWidth="1"/>
    <col min="8413" max="8413" width="8.85546875" style="228" customWidth="1"/>
    <col min="8414" max="8424" width="10.7109375" style="228" customWidth="1"/>
    <col min="8425" max="8425" width="13.28515625" style="228" customWidth="1"/>
    <col min="8426" max="8426" width="9.28515625" style="228" bestFit="1" customWidth="1"/>
    <col min="8427" max="8427" width="15.7109375" style="228" customWidth="1"/>
    <col min="8428" max="8428" width="7" style="228" customWidth="1"/>
    <col min="8429" max="8430" width="13" style="228" customWidth="1"/>
    <col min="8431" max="8437" width="18.7109375" style="228" customWidth="1"/>
    <col min="8438" max="8438" width="21.7109375" style="228" bestFit="1" customWidth="1"/>
    <col min="8439" max="8440" width="8.7109375" style="228" customWidth="1"/>
    <col min="8441" max="8441" width="18.42578125" style="228" customWidth="1"/>
    <col min="8442" max="8447" width="15" style="228" customWidth="1"/>
    <col min="8448" max="8448" width="21.7109375" style="228" bestFit="1" customWidth="1"/>
    <col min="8449" max="8449" width="7.28515625" style="228" customWidth="1"/>
    <col min="8450" max="8450" width="14.85546875" style="228" customWidth="1"/>
    <col min="8451" max="8451" width="15.140625" style="228" bestFit="1" customWidth="1"/>
    <col min="8452" max="8452" width="25.42578125" style="228" customWidth="1"/>
    <col min="8453" max="8453" width="5.85546875" style="228" bestFit="1" customWidth="1"/>
    <col min="8454" max="8454" width="6.7109375" style="228" bestFit="1" customWidth="1"/>
    <col min="8455" max="8459" width="8.42578125" style="228" bestFit="1" customWidth="1"/>
    <col min="8460" max="8462" width="14" style="228" customWidth="1"/>
    <col min="8463" max="8656" width="9.140625" style="228"/>
    <col min="8657" max="8658" width="8.7109375" style="228" customWidth="1"/>
    <col min="8659" max="8659" width="4.7109375" style="228" customWidth="1"/>
    <col min="8660" max="8660" width="10.7109375" style="228" customWidth="1"/>
    <col min="8661" max="8661" width="5.7109375" style="228" customWidth="1"/>
    <col min="8662" max="8662" width="3.28515625" style="228" bestFit="1" customWidth="1"/>
    <col min="8663" max="8663" width="8.7109375" style="228" customWidth="1"/>
    <col min="8664" max="8664" width="4.7109375" style="228" customWidth="1"/>
    <col min="8665" max="8665" width="10.7109375" style="228" customWidth="1"/>
    <col min="8666" max="8666" width="5.7109375" style="228" customWidth="1"/>
    <col min="8667" max="8667" width="3.28515625" style="228" customWidth="1"/>
    <col min="8668" max="8668" width="8.42578125" style="228" bestFit="1" customWidth="1"/>
    <col min="8669" max="8669" width="8.85546875" style="228" customWidth="1"/>
    <col min="8670" max="8680" width="10.7109375" style="228" customWidth="1"/>
    <col min="8681" max="8681" width="13.28515625" style="228" customWidth="1"/>
    <col min="8682" max="8682" width="9.28515625" style="228" bestFit="1" customWidth="1"/>
    <col min="8683" max="8683" width="15.7109375" style="228" customWidth="1"/>
    <col min="8684" max="8684" width="7" style="228" customWidth="1"/>
    <col min="8685" max="8686" width="13" style="228" customWidth="1"/>
    <col min="8687" max="8693" width="18.7109375" style="228" customWidth="1"/>
    <col min="8694" max="8694" width="21.7109375" style="228" bestFit="1" customWidth="1"/>
    <col min="8695" max="8696" width="8.7109375" style="228" customWidth="1"/>
    <col min="8697" max="8697" width="18.42578125" style="228" customWidth="1"/>
    <col min="8698" max="8703" width="15" style="228" customWidth="1"/>
    <col min="8704" max="8704" width="21.7109375" style="228" bestFit="1" customWidth="1"/>
    <col min="8705" max="8705" width="7.28515625" style="228" customWidth="1"/>
    <col min="8706" max="8706" width="14.85546875" style="228" customWidth="1"/>
    <col min="8707" max="8707" width="15.140625" style="228" bestFit="1" customWidth="1"/>
    <col min="8708" max="8708" width="25.42578125" style="228" customWidth="1"/>
    <col min="8709" max="8709" width="5.85546875" style="228" bestFit="1" customWidth="1"/>
    <col min="8710" max="8710" width="6.7109375" style="228" bestFit="1" customWidth="1"/>
    <col min="8711" max="8715" width="8.42578125" style="228" bestFit="1" customWidth="1"/>
    <col min="8716" max="8718" width="14" style="228" customWidth="1"/>
    <col min="8719" max="8912" width="9.140625" style="228"/>
    <col min="8913" max="8914" width="8.7109375" style="228" customWidth="1"/>
    <col min="8915" max="8915" width="4.7109375" style="228" customWidth="1"/>
    <col min="8916" max="8916" width="10.7109375" style="228" customWidth="1"/>
    <col min="8917" max="8917" width="5.7109375" style="228" customWidth="1"/>
    <col min="8918" max="8918" width="3.28515625" style="228" bestFit="1" customWidth="1"/>
    <col min="8919" max="8919" width="8.7109375" style="228" customWidth="1"/>
    <col min="8920" max="8920" width="4.7109375" style="228" customWidth="1"/>
    <col min="8921" max="8921" width="10.7109375" style="228" customWidth="1"/>
    <col min="8922" max="8922" width="5.7109375" style="228" customWidth="1"/>
    <col min="8923" max="8923" width="3.28515625" style="228" customWidth="1"/>
    <col min="8924" max="8924" width="8.42578125" style="228" bestFit="1" customWidth="1"/>
    <col min="8925" max="8925" width="8.85546875" style="228" customWidth="1"/>
    <col min="8926" max="8936" width="10.7109375" style="228" customWidth="1"/>
    <col min="8937" max="8937" width="13.28515625" style="228" customWidth="1"/>
    <col min="8938" max="8938" width="9.28515625" style="228" bestFit="1" customWidth="1"/>
    <col min="8939" max="8939" width="15.7109375" style="228" customWidth="1"/>
    <col min="8940" max="8940" width="7" style="228" customWidth="1"/>
    <col min="8941" max="8942" width="13" style="228" customWidth="1"/>
    <col min="8943" max="8949" width="18.7109375" style="228" customWidth="1"/>
    <col min="8950" max="8950" width="21.7109375" style="228" bestFit="1" customWidth="1"/>
    <col min="8951" max="8952" width="8.7109375" style="228" customWidth="1"/>
    <col min="8953" max="8953" width="18.42578125" style="228" customWidth="1"/>
    <col min="8954" max="8959" width="15" style="228" customWidth="1"/>
    <col min="8960" max="8960" width="21.7109375" style="228" bestFit="1" customWidth="1"/>
    <col min="8961" max="8961" width="7.28515625" style="228" customWidth="1"/>
    <col min="8962" max="8962" width="14.85546875" style="228" customWidth="1"/>
    <col min="8963" max="8963" width="15.140625" style="228" bestFit="1" customWidth="1"/>
    <col min="8964" max="8964" width="25.42578125" style="228" customWidth="1"/>
    <col min="8965" max="8965" width="5.85546875" style="228" bestFit="1" customWidth="1"/>
    <col min="8966" max="8966" width="6.7109375" style="228" bestFit="1" customWidth="1"/>
    <col min="8967" max="8971" width="8.42578125" style="228" bestFit="1" customWidth="1"/>
    <col min="8972" max="8974" width="14" style="228" customWidth="1"/>
    <col min="8975" max="9168" width="9.140625" style="228"/>
    <col min="9169" max="9170" width="8.7109375" style="228" customWidth="1"/>
    <col min="9171" max="9171" width="4.7109375" style="228" customWidth="1"/>
    <col min="9172" max="9172" width="10.7109375" style="228" customWidth="1"/>
    <col min="9173" max="9173" width="5.7109375" style="228" customWidth="1"/>
    <col min="9174" max="9174" width="3.28515625" style="228" bestFit="1" customWidth="1"/>
    <col min="9175" max="9175" width="8.7109375" style="228" customWidth="1"/>
    <col min="9176" max="9176" width="4.7109375" style="228" customWidth="1"/>
    <col min="9177" max="9177" width="10.7109375" style="228" customWidth="1"/>
    <col min="9178" max="9178" width="5.7109375" style="228" customWidth="1"/>
    <col min="9179" max="9179" width="3.28515625" style="228" customWidth="1"/>
    <col min="9180" max="9180" width="8.42578125" style="228" bestFit="1" customWidth="1"/>
    <col min="9181" max="9181" width="8.85546875" style="228" customWidth="1"/>
    <col min="9182" max="9192" width="10.7109375" style="228" customWidth="1"/>
    <col min="9193" max="9193" width="13.28515625" style="228" customWidth="1"/>
    <col min="9194" max="9194" width="9.28515625" style="228" bestFit="1" customWidth="1"/>
    <col min="9195" max="9195" width="15.7109375" style="228" customWidth="1"/>
    <col min="9196" max="9196" width="7" style="228" customWidth="1"/>
    <col min="9197" max="9198" width="13" style="228" customWidth="1"/>
    <col min="9199" max="9205" width="18.7109375" style="228" customWidth="1"/>
    <col min="9206" max="9206" width="21.7109375" style="228" bestFit="1" customWidth="1"/>
    <col min="9207" max="9208" width="8.7109375" style="228" customWidth="1"/>
    <col min="9209" max="9209" width="18.42578125" style="228" customWidth="1"/>
    <col min="9210" max="9215" width="15" style="228" customWidth="1"/>
    <col min="9216" max="9216" width="21.7109375" style="228" bestFit="1" customWidth="1"/>
    <col min="9217" max="9217" width="7.28515625" style="228" customWidth="1"/>
    <col min="9218" max="9218" width="14.85546875" style="228" customWidth="1"/>
    <col min="9219" max="9219" width="15.140625" style="228" bestFit="1" customWidth="1"/>
    <col min="9220" max="9220" width="25.42578125" style="228" customWidth="1"/>
    <col min="9221" max="9221" width="5.85546875" style="228" bestFit="1" customWidth="1"/>
    <col min="9222" max="9222" width="6.7109375" style="228" bestFit="1" customWidth="1"/>
    <col min="9223" max="9227" width="8.42578125" style="228" bestFit="1" customWidth="1"/>
    <col min="9228" max="9230" width="14" style="228" customWidth="1"/>
    <col min="9231" max="9424" width="9.140625" style="228"/>
    <col min="9425" max="9426" width="8.7109375" style="228" customWidth="1"/>
    <col min="9427" max="9427" width="4.7109375" style="228" customWidth="1"/>
    <col min="9428" max="9428" width="10.7109375" style="228" customWidth="1"/>
    <col min="9429" max="9429" width="5.7109375" style="228" customWidth="1"/>
    <col min="9430" max="9430" width="3.28515625" style="228" bestFit="1" customWidth="1"/>
    <col min="9431" max="9431" width="8.7109375" style="228" customWidth="1"/>
    <col min="9432" max="9432" width="4.7109375" style="228" customWidth="1"/>
    <col min="9433" max="9433" width="10.7109375" style="228" customWidth="1"/>
    <col min="9434" max="9434" width="5.7109375" style="228" customWidth="1"/>
    <col min="9435" max="9435" width="3.28515625" style="228" customWidth="1"/>
    <col min="9436" max="9436" width="8.42578125" style="228" bestFit="1" customWidth="1"/>
    <col min="9437" max="9437" width="8.85546875" style="228" customWidth="1"/>
    <col min="9438" max="9448" width="10.7109375" style="228" customWidth="1"/>
    <col min="9449" max="9449" width="13.28515625" style="228" customWidth="1"/>
    <col min="9450" max="9450" width="9.28515625" style="228" bestFit="1" customWidth="1"/>
    <col min="9451" max="9451" width="15.7109375" style="228" customWidth="1"/>
    <col min="9452" max="9452" width="7" style="228" customWidth="1"/>
    <col min="9453" max="9454" width="13" style="228" customWidth="1"/>
    <col min="9455" max="9461" width="18.7109375" style="228" customWidth="1"/>
    <col min="9462" max="9462" width="21.7109375" style="228" bestFit="1" customWidth="1"/>
    <col min="9463" max="9464" width="8.7109375" style="228" customWidth="1"/>
    <col min="9465" max="9465" width="18.42578125" style="228" customWidth="1"/>
    <col min="9466" max="9471" width="15" style="228" customWidth="1"/>
    <col min="9472" max="9472" width="21.7109375" style="228" bestFit="1" customWidth="1"/>
    <col min="9473" max="9473" width="7.28515625" style="228" customWidth="1"/>
    <col min="9474" max="9474" width="14.85546875" style="228" customWidth="1"/>
    <col min="9475" max="9475" width="15.140625" style="228" bestFit="1" customWidth="1"/>
    <col min="9476" max="9476" width="25.42578125" style="228" customWidth="1"/>
    <col min="9477" max="9477" width="5.85546875" style="228" bestFit="1" customWidth="1"/>
    <col min="9478" max="9478" width="6.7109375" style="228" bestFit="1" customWidth="1"/>
    <col min="9479" max="9483" width="8.42578125" style="228" bestFit="1" customWidth="1"/>
    <col min="9484" max="9486" width="14" style="228" customWidth="1"/>
    <col min="9487" max="9680" width="9.140625" style="228"/>
    <col min="9681" max="9682" width="8.7109375" style="228" customWidth="1"/>
    <col min="9683" max="9683" width="4.7109375" style="228" customWidth="1"/>
    <col min="9684" max="9684" width="10.7109375" style="228" customWidth="1"/>
    <col min="9685" max="9685" width="5.7109375" style="228" customWidth="1"/>
    <col min="9686" max="9686" width="3.28515625" style="228" bestFit="1" customWidth="1"/>
    <col min="9687" max="9687" width="8.7109375" style="228" customWidth="1"/>
    <col min="9688" max="9688" width="4.7109375" style="228" customWidth="1"/>
    <col min="9689" max="9689" width="10.7109375" style="228" customWidth="1"/>
    <col min="9690" max="9690" width="5.7109375" style="228" customWidth="1"/>
    <col min="9691" max="9691" width="3.28515625" style="228" customWidth="1"/>
    <col min="9692" max="9692" width="8.42578125" style="228" bestFit="1" customWidth="1"/>
    <col min="9693" max="9693" width="8.85546875" style="228" customWidth="1"/>
    <col min="9694" max="9704" width="10.7109375" style="228" customWidth="1"/>
    <col min="9705" max="9705" width="13.28515625" style="228" customWidth="1"/>
    <col min="9706" max="9706" width="9.28515625" style="228" bestFit="1" customWidth="1"/>
    <col min="9707" max="9707" width="15.7109375" style="228" customWidth="1"/>
    <col min="9708" max="9708" width="7" style="228" customWidth="1"/>
    <col min="9709" max="9710" width="13" style="228" customWidth="1"/>
    <col min="9711" max="9717" width="18.7109375" style="228" customWidth="1"/>
    <col min="9718" max="9718" width="21.7109375" style="228" bestFit="1" customWidth="1"/>
    <col min="9719" max="9720" width="8.7109375" style="228" customWidth="1"/>
    <col min="9721" max="9721" width="18.42578125" style="228" customWidth="1"/>
    <col min="9722" max="9727" width="15" style="228" customWidth="1"/>
    <col min="9728" max="9728" width="21.7109375" style="228" bestFit="1" customWidth="1"/>
    <col min="9729" max="9729" width="7.28515625" style="228" customWidth="1"/>
    <col min="9730" max="9730" width="14.85546875" style="228" customWidth="1"/>
    <col min="9731" max="9731" width="15.140625" style="228" bestFit="1" customWidth="1"/>
    <col min="9732" max="9732" width="25.42578125" style="228" customWidth="1"/>
    <col min="9733" max="9733" width="5.85546875" style="228" bestFit="1" customWidth="1"/>
    <col min="9734" max="9734" width="6.7109375" style="228" bestFit="1" customWidth="1"/>
    <col min="9735" max="9739" width="8.42578125" style="228" bestFit="1" customWidth="1"/>
    <col min="9740" max="9742" width="14" style="228" customWidth="1"/>
    <col min="9743" max="9936" width="9.140625" style="228"/>
    <col min="9937" max="9938" width="8.7109375" style="228" customWidth="1"/>
    <col min="9939" max="9939" width="4.7109375" style="228" customWidth="1"/>
    <col min="9940" max="9940" width="10.7109375" style="228" customWidth="1"/>
    <col min="9941" max="9941" width="5.7109375" style="228" customWidth="1"/>
    <col min="9942" max="9942" width="3.28515625" style="228" bestFit="1" customWidth="1"/>
    <col min="9943" max="9943" width="8.7109375" style="228" customWidth="1"/>
    <col min="9944" max="9944" width="4.7109375" style="228" customWidth="1"/>
    <col min="9945" max="9945" width="10.7109375" style="228" customWidth="1"/>
    <col min="9946" max="9946" width="5.7109375" style="228" customWidth="1"/>
    <col min="9947" max="9947" width="3.28515625" style="228" customWidth="1"/>
    <col min="9948" max="9948" width="8.42578125" style="228" bestFit="1" customWidth="1"/>
    <col min="9949" max="9949" width="8.85546875" style="228" customWidth="1"/>
    <col min="9950" max="9960" width="10.7109375" style="228" customWidth="1"/>
    <col min="9961" max="9961" width="13.28515625" style="228" customWidth="1"/>
    <col min="9962" max="9962" width="9.28515625" style="228" bestFit="1" customWidth="1"/>
    <col min="9963" max="9963" width="15.7109375" style="228" customWidth="1"/>
    <col min="9964" max="9964" width="7" style="228" customWidth="1"/>
    <col min="9965" max="9966" width="13" style="228" customWidth="1"/>
    <col min="9967" max="9973" width="18.7109375" style="228" customWidth="1"/>
    <col min="9974" max="9974" width="21.7109375" style="228" bestFit="1" customWidth="1"/>
    <col min="9975" max="9976" width="8.7109375" style="228" customWidth="1"/>
    <col min="9977" max="9977" width="18.42578125" style="228" customWidth="1"/>
    <col min="9978" max="9983" width="15" style="228" customWidth="1"/>
    <col min="9984" max="9984" width="21.7109375" style="228" bestFit="1" customWidth="1"/>
    <col min="9985" max="9985" width="7.28515625" style="228" customWidth="1"/>
    <col min="9986" max="9986" width="14.85546875" style="228" customWidth="1"/>
    <col min="9987" max="9987" width="15.140625" style="228" bestFit="1" customWidth="1"/>
    <col min="9988" max="9988" width="25.42578125" style="228" customWidth="1"/>
    <col min="9989" max="9989" width="5.85546875" style="228" bestFit="1" customWidth="1"/>
    <col min="9990" max="9990" width="6.7109375" style="228" bestFit="1" customWidth="1"/>
    <col min="9991" max="9995" width="8.42578125" style="228" bestFit="1" customWidth="1"/>
    <col min="9996" max="9998" width="14" style="228" customWidth="1"/>
    <col min="9999" max="10192" width="9.140625" style="228"/>
    <col min="10193" max="10194" width="8.7109375" style="228" customWidth="1"/>
    <col min="10195" max="10195" width="4.7109375" style="228" customWidth="1"/>
    <col min="10196" max="10196" width="10.7109375" style="228" customWidth="1"/>
    <col min="10197" max="10197" width="5.7109375" style="228" customWidth="1"/>
    <col min="10198" max="10198" width="3.28515625" style="228" bestFit="1" customWidth="1"/>
    <col min="10199" max="10199" width="8.7109375" style="228" customWidth="1"/>
    <col min="10200" max="10200" width="4.7109375" style="228" customWidth="1"/>
    <col min="10201" max="10201" width="10.7109375" style="228" customWidth="1"/>
    <col min="10202" max="10202" width="5.7109375" style="228" customWidth="1"/>
    <col min="10203" max="10203" width="3.28515625" style="228" customWidth="1"/>
    <col min="10204" max="10204" width="8.42578125" style="228" bestFit="1" customWidth="1"/>
    <col min="10205" max="10205" width="8.85546875" style="228" customWidth="1"/>
    <col min="10206" max="10216" width="10.7109375" style="228" customWidth="1"/>
    <col min="10217" max="10217" width="13.28515625" style="228" customWidth="1"/>
    <col min="10218" max="10218" width="9.28515625" style="228" bestFit="1" customWidth="1"/>
    <col min="10219" max="10219" width="15.7109375" style="228" customWidth="1"/>
    <col min="10220" max="10220" width="7" style="228" customWidth="1"/>
    <col min="10221" max="10222" width="13" style="228" customWidth="1"/>
    <col min="10223" max="10229" width="18.7109375" style="228" customWidth="1"/>
    <col min="10230" max="10230" width="21.7109375" style="228" bestFit="1" customWidth="1"/>
    <col min="10231" max="10232" width="8.7109375" style="228" customWidth="1"/>
    <col min="10233" max="10233" width="18.42578125" style="228" customWidth="1"/>
    <col min="10234" max="10239" width="15" style="228" customWidth="1"/>
    <col min="10240" max="10240" width="21.7109375" style="228" bestFit="1" customWidth="1"/>
    <col min="10241" max="10241" width="7.28515625" style="228" customWidth="1"/>
    <col min="10242" max="10242" width="14.85546875" style="228" customWidth="1"/>
    <col min="10243" max="10243" width="15.140625" style="228" bestFit="1" customWidth="1"/>
    <col min="10244" max="10244" width="25.42578125" style="228" customWidth="1"/>
    <col min="10245" max="10245" width="5.85546875" style="228" bestFit="1" customWidth="1"/>
    <col min="10246" max="10246" width="6.7109375" style="228" bestFit="1" customWidth="1"/>
    <col min="10247" max="10251" width="8.42578125" style="228" bestFit="1" customWidth="1"/>
    <col min="10252" max="10254" width="14" style="228" customWidth="1"/>
    <col min="10255" max="10448" width="9.140625" style="228"/>
    <col min="10449" max="10450" width="8.7109375" style="228" customWidth="1"/>
    <col min="10451" max="10451" width="4.7109375" style="228" customWidth="1"/>
    <col min="10452" max="10452" width="10.7109375" style="228" customWidth="1"/>
    <col min="10453" max="10453" width="5.7109375" style="228" customWidth="1"/>
    <col min="10454" max="10454" width="3.28515625" style="228" bestFit="1" customWidth="1"/>
    <col min="10455" max="10455" width="8.7109375" style="228" customWidth="1"/>
    <col min="10456" max="10456" width="4.7109375" style="228" customWidth="1"/>
    <col min="10457" max="10457" width="10.7109375" style="228" customWidth="1"/>
    <col min="10458" max="10458" width="5.7109375" style="228" customWidth="1"/>
    <col min="10459" max="10459" width="3.28515625" style="228" customWidth="1"/>
    <col min="10460" max="10460" width="8.42578125" style="228" bestFit="1" customWidth="1"/>
    <col min="10461" max="10461" width="8.85546875" style="228" customWidth="1"/>
    <col min="10462" max="10472" width="10.7109375" style="228" customWidth="1"/>
    <col min="10473" max="10473" width="13.28515625" style="228" customWidth="1"/>
    <col min="10474" max="10474" width="9.28515625" style="228" bestFit="1" customWidth="1"/>
    <col min="10475" max="10475" width="15.7109375" style="228" customWidth="1"/>
    <col min="10476" max="10476" width="7" style="228" customWidth="1"/>
    <col min="10477" max="10478" width="13" style="228" customWidth="1"/>
    <col min="10479" max="10485" width="18.7109375" style="228" customWidth="1"/>
    <col min="10486" max="10486" width="21.7109375" style="228" bestFit="1" customWidth="1"/>
    <col min="10487" max="10488" width="8.7109375" style="228" customWidth="1"/>
    <col min="10489" max="10489" width="18.42578125" style="228" customWidth="1"/>
    <col min="10490" max="10495" width="15" style="228" customWidth="1"/>
    <col min="10496" max="10496" width="21.7109375" style="228" bestFit="1" customWidth="1"/>
    <col min="10497" max="10497" width="7.28515625" style="228" customWidth="1"/>
    <col min="10498" max="10498" width="14.85546875" style="228" customWidth="1"/>
    <col min="10499" max="10499" width="15.140625" style="228" bestFit="1" customWidth="1"/>
    <col min="10500" max="10500" width="25.42578125" style="228" customWidth="1"/>
    <col min="10501" max="10501" width="5.85546875" style="228" bestFit="1" customWidth="1"/>
    <col min="10502" max="10502" width="6.7109375" style="228" bestFit="1" customWidth="1"/>
    <col min="10503" max="10507" width="8.42578125" style="228" bestFit="1" customWidth="1"/>
    <col min="10508" max="10510" width="14" style="228" customWidth="1"/>
    <col min="10511" max="10704" width="9.140625" style="228"/>
    <col min="10705" max="10706" width="8.7109375" style="228" customWidth="1"/>
    <col min="10707" max="10707" width="4.7109375" style="228" customWidth="1"/>
    <col min="10708" max="10708" width="10.7109375" style="228" customWidth="1"/>
    <col min="10709" max="10709" width="5.7109375" style="228" customWidth="1"/>
    <col min="10710" max="10710" width="3.28515625" style="228" bestFit="1" customWidth="1"/>
    <col min="10711" max="10711" width="8.7109375" style="228" customWidth="1"/>
    <col min="10712" max="10712" width="4.7109375" style="228" customWidth="1"/>
    <col min="10713" max="10713" width="10.7109375" style="228" customWidth="1"/>
    <col min="10714" max="10714" width="5.7109375" style="228" customWidth="1"/>
    <col min="10715" max="10715" width="3.28515625" style="228" customWidth="1"/>
    <col min="10716" max="10716" width="8.42578125" style="228" bestFit="1" customWidth="1"/>
    <col min="10717" max="10717" width="8.85546875" style="228" customWidth="1"/>
    <col min="10718" max="10728" width="10.7109375" style="228" customWidth="1"/>
    <col min="10729" max="10729" width="13.28515625" style="228" customWidth="1"/>
    <col min="10730" max="10730" width="9.28515625" style="228" bestFit="1" customWidth="1"/>
    <col min="10731" max="10731" width="15.7109375" style="228" customWidth="1"/>
    <col min="10732" max="10732" width="7" style="228" customWidth="1"/>
    <col min="10733" max="10734" width="13" style="228" customWidth="1"/>
    <col min="10735" max="10741" width="18.7109375" style="228" customWidth="1"/>
    <col min="10742" max="10742" width="21.7109375" style="228" bestFit="1" customWidth="1"/>
    <col min="10743" max="10744" width="8.7109375" style="228" customWidth="1"/>
    <col min="10745" max="10745" width="18.42578125" style="228" customWidth="1"/>
    <col min="10746" max="10751" width="15" style="228" customWidth="1"/>
    <col min="10752" max="10752" width="21.7109375" style="228" bestFit="1" customWidth="1"/>
    <col min="10753" max="10753" width="7.28515625" style="228" customWidth="1"/>
    <col min="10754" max="10754" width="14.85546875" style="228" customWidth="1"/>
    <col min="10755" max="10755" width="15.140625" style="228" bestFit="1" customWidth="1"/>
    <col min="10756" max="10756" width="25.42578125" style="228" customWidth="1"/>
    <col min="10757" max="10757" width="5.85546875" style="228" bestFit="1" customWidth="1"/>
    <col min="10758" max="10758" width="6.7109375" style="228" bestFit="1" customWidth="1"/>
    <col min="10759" max="10763" width="8.42578125" style="228" bestFit="1" customWidth="1"/>
    <col min="10764" max="10766" width="14" style="228" customWidth="1"/>
    <col min="10767" max="10960" width="9.140625" style="228"/>
    <col min="10961" max="10962" width="8.7109375" style="228" customWidth="1"/>
    <col min="10963" max="10963" width="4.7109375" style="228" customWidth="1"/>
    <col min="10964" max="10964" width="10.7109375" style="228" customWidth="1"/>
    <col min="10965" max="10965" width="5.7109375" style="228" customWidth="1"/>
    <col min="10966" max="10966" width="3.28515625" style="228" bestFit="1" customWidth="1"/>
    <col min="10967" max="10967" width="8.7109375" style="228" customWidth="1"/>
    <col min="10968" max="10968" width="4.7109375" style="228" customWidth="1"/>
    <col min="10969" max="10969" width="10.7109375" style="228" customWidth="1"/>
    <col min="10970" max="10970" width="5.7109375" style="228" customWidth="1"/>
    <col min="10971" max="10971" width="3.28515625" style="228" customWidth="1"/>
    <col min="10972" max="10972" width="8.42578125" style="228" bestFit="1" customWidth="1"/>
    <col min="10973" max="10973" width="8.85546875" style="228" customWidth="1"/>
    <col min="10974" max="10984" width="10.7109375" style="228" customWidth="1"/>
    <col min="10985" max="10985" width="13.28515625" style="228" customWidth="1"/>
    <col min="10986" max="10986" width="9.28515625" style="228" bestFit="1" customWidth="1"/>
    <col min="10987" max="10987" width="15.7109375" style="228" customWidth="1"/>
    <col min="10988" max="10988" width="7" style="228" customWidth="1"/>
    <col min="10989" max="10990" width="13" style="228" customWidth="1"/>
    <col min="10991" max="10997" width="18.7109375" style="228" customWidth="1"/>
    <col min="10998" max="10998" width="21.7109375" style="228" bestFit="1" customWidth="1"/>
    <col min="10999" max="11000" width="8.7109375" style="228" customWidth="1"/>
    <col min="11001" max="11001" width="18.42578125" style="228" customWidth="1"/>
    <col min="11002" max="11007" width="15" style="228" customWidth="1"/>
    <col min="11008" max="11008" width="21.7109375" style="228" bestFit="1" customWidth="1"/>
    <col min="11009" max="11009" width="7.28515625" style="228" customWidth="1"/>
    <col min="11010" max="11010" width="14.85546875" style="228" customWidth="1"/>
    <col min="11011" max="11011" width="15.140625" style="228" bestFit="1" customWidth="1"/>
    <col min="11012" max="11012" width="25.42578125" style="228" customWidth="1"/>
    <col min="11013" max="11013" width="5.85546875" style="228" bestFit="1" customWidth="1"/>
    <col min="11014" max="11014" width="6.7109375" style="228" bestFit="1" customWidth="1"/>
    <col min="11015" max="11019" width="8.42578125" style="228" bestFit="1" customWidth="1"/>
    <col min="11020" max="11022" width="14" style="228" customWidth="1"/>
    <col min="11023" max="11216" width="9.140625" style="228"/>
    <col min="11217" max="11218" width="8.7109375" style="228" customWidth="1"/>
    <col min="11219" max="11219" width="4.7109375" style="228" customWidth="1"/>
    <col min="11220" max="11220" width="10.7109375" style="228" customWidth="1"/>
    <col min="11221" max="11221" width="5.7109375" style="228" customWidth="1"/>
    <col min="11222" max="11222" width="3.28515625" style="228" bestFit="1" customWidth="1"/>
    <col min="11223" max="11223" width="8.7109375" style="228" customWidth="1"/>
    <col min="11224" max="11224" width="4.7109375" style="228" customWidth="1"/>
    <col min="11225" max="11225" width="10.7109375" style="228" customWidth="1"/>
    <col min="11226" max="11226" width="5.7109375" style="228" customWidth="1"/>
    <col min="11227" max="11227" width="3.28515625" style="228" customWidth="1"/>
    <col min="11228" max="11228" width="8.42578125" style="228" bestFit="1" customWidth="1"/>
    <col min="11229" max="11229" width="8.85546875" style="228" customWidth="1"/>
    <col min="11230" max="11240" width="10.7109375" style="228" customWidth="1"/>
    <col min="11241" max="11241" width="13.28515625" style="228" customWidth="1"/>
    <col min="11242" max="11242" width="9.28515625" style="228" bestFit="1" customWidth="1"/>
    <col min="11243" max="11243" width="15.7109375" style="228" customWidth="1"/>
    <col min="11244" max="11244" width="7" style="228" customWidth="1"/>
    <col min="11245" max="11246" width="13" style="228" customWidth="1"/>
    <col min="11247" max="11253" width="18.7109375" style="228" customWidth="1"/>
    <col min="11254" max="11254" width="21.7109375" style="228" bestFit="1" customWidth="1"/>
    <col min="11255" max="11256" width="8.7109375" style="228" customWidth="1"/>
    <col min="11257" max="11257" width="18.42578125" style="228" customWidth="1"/>
    <col min="11258" max="11263" width="15" style="228" customWidth="1"/>
    <col min="11264" max="11264" width="21.7109375" style="228" bestFit="1" customWidth="1"/>
    <col min="11265" max="11265" width="7.28515625" style="228" customWidth="1"/>
    <col min="11266" max="11266" width="14.85546875" style="228" customWidth="1"/>
    <col min="11267" max="11267" width="15.140625" style="228" bestFit="1" customWidth="1"/>
    <col min="11268" max="11268" width="25.42578125" style="228" customWidth="1"/>
    <col min="11269" max="11269" width="5.85546875" style="228" bestFit="1" customWidth="1"/>
    <col min="11270" max="11270" width="6.7109375" style="228" bestFit="1" customWidth="1"/>
    <col min="11271" max="11275" width="8.42578125" style="228" bestFit="1" customWidth="1"/>
    <col min="11276" max="11278" width="14" style="228" customWidth="1"/>
    <col min="11279" max="11472" width="9.140625" style="228"/>
    <col min="11473" max="11474" width="8.7109375" style="228" customWidth="1"/>
    <col min="11475" max="11475" width="4.7109375" style="228" customWidth="1"/>
    <col min="11476" max="11476" width="10.7109375" style="228" customWidth="1"/>
    <col min="11477" max="11477" width="5.7109375" style="228" customWidth="1"/>
    <col min="11478" max="11478" width="3.28515625" style="228" bestFit="1" customWidth="1"/>
    <col min="11479" max="11479" width="8.7109375" style="228" customWidth="1"/>
    <col min="11480" max="11480" width="4.7109375" style="228" customWidth="1"/>
    <col min="11481" max="11481" width="10.7109375" style="228" customWidth="1"/>
    <col min="11482" max="11482" width="5.7109375" style="228" customWidth="1"/>
    <col min="11483" max="11483" width="3.28515625" style="228" customWidth="1"/>
    <col min="11484" max="11484" width="8.42578125" style="228" bestFit="1" customWidth="1"/>
    <col min="11485" max="11485" width="8.85546875" style="228" customWidth="1"/>
    <col min="11486" max="11496" width="10.7109375" style="228" customWidth="1"/>
    <col min="11497" max="11497" width="13.28515625" style="228" customWidth="1"/>
    <col min="11498" max="11498" width="9.28515625" style="228" bestFit="1" customWidth="1"/>
    <col min="11499" max="11499" width="15.7109375" style="228" customWidth="1"/>
    <col min="11500" max="11500" width="7" style="228" customWidth="1"/>
    <col min="11501" max="11502" width="13" style="228" customWidth="1"/>
    <col min="11503" max="11509" width="18.7109375" style="228" customWidth="1"/>
    <col min="11510" max="11510" width="21.7109375" style="228" bestFit="1" customWidth="1"/>
    <col min="11511" max="11512" width="8.7109375" style="228" customWidth="1"/>
    <col min="11513" max="11513" width="18.42578125" style="228" customWidth="1"/>
    <col min="11514" max="11519" width="15" style="228" customWidth="1"/>
    <col min="11520" max="11520" width="21.7109375" style="228" bestFit="1" customWidth="1"/>
    <col min="11521" max="11521" width="7.28515625" style="228" customWidth="1"/>
    <col min="11522" max="11522" width="14.85546875" style="228" customWidth="1"/>
    <col min="11523" max="11523" width="15.140625" style="228" bestFit="1" customWidth="1"/>
    <col min="11524" max="11524" width="25.42578125" style="228" customWidth="1"/>
    <col min="11525" max="11525" width="5.85546875" style="228" bestFit="1" customWidth="1"/>
    <col min="11526" max="11526" width="6.7109375" style="228" bestFit="1" customWidth="1"/>
    <col min="11527" max="11531" width="8.42578125" style="228" bestFit="1" customWidth="1"/>
    <col min="11532" max="11534" width="14" style="228" customWidth="1"/>
    <col min="11535" max="11728" width="9.140625" style="228"/>
    <col min="11729" max="11730" width="8.7109375" style="228" customWidth="1"/>
    <col min="11731" max="11731" width="4.7109375" style="228" customWidth="1"/>
    <col min="11732" max="11732" width="10.7109375" style="228" customWidth="1"/>
    <col min="11733" max="11733" width="5.7109375" style="228" customWidth="1"/>
    <col min="11734" max="11734" width="3.28515625" style="228" bestFit="1" customWidth="1"/>
    <col min="11735" max="11735" width="8.7109375" style="228" customWidth="1"/>
    <col min="11736" max="11736" width="4.7109375" style="228" customWidth="1"/>
    <col min="11737" max="11737" width="10.7109375" style="228" customWidth="1"/>
    <col min="11738" max="11738" width="5.7109375" style="228" customWidth="1"/>
    <col min="11739" max="11739" width="3.28515625" style="228" customWidth="1"/>
    <col min="11740" max="11740" width="8.42578125" style="228" bestFit="1" customWidth="1"/>
    <col min="11741" max="11741" width="8.85546875" style="228" customWidth="1"/>
    <col min="11742" max="11752" width="10.7109375" style="228" customWidth="1"/>
    <col min="11753" max="11753" width="13.28515625" style="228" customWidth="1"/>
    <col min="11754" max="11754" width="9.28515625" style="228" bestFit="1" customWidth="1"/>
    <col min="11755" max="11755" width="15.7109375" style="228" customWidth="1"/>
    <col min="11756" max="11756" width="7" style="228" customWidth="1"/>
    <col min="11757" max="11758" width="13" style="228" customWidth="1"/>
    <col min="11759" max="11765" width="18.7109375" style="228" customWidth="1"/>
    <col min="11766" max="11766" width="21.7109375" style="228" bestFit="1" customWidth="1"/>
    <col min="11767" max="11768" width="8.7109375" style="228" customWidth="1"/>
    <col min="11769" max="11769" width="18.42578125" style="228" customWidth="1"/>
    <col min="11770" max="11775" width="15" style="228" customWidth="1"/>
    <col min="11776" max="11776" width="21.7109375" style="228" bestFit="1" customWidth="1"/>
    <col min="11777" max="11777" width="7.28515625" style="228" customWidth="1"/>
    <col min="11778" max="11778" width="14.85546875" style="228" customWidth="1"/>
    <col min="11779" max="11779" width="15.140625" style="228" bestFit="1" customWidth="1"/>
    <col min="11780" max="11780" width="25.42578125" style="228" customWidth="1"/>
    <col min="11781" max="11781" width="5.85546875" style="228" bestFit="1" customWidth="1"/>
    <col min="11782" max="11782" width="6.7109375" style="228" bestFit="1" customWidth="1"/>
    <col min="11783" max="11787" width="8.42578125" style="228" bestFit="1" customWidth="1"/>
    <col min="11788" max="11790" width="14" style="228" customWidth="1"/>
    <col min="11791" max="11984" width="9.140625" style="228"/>
    <col min="11985" max="11986" width="8.7109375" style="228" customWidth="1"/>
    <col min="11987" max="11987" width="4.7109375" style="228" customWidth="1"/>
    <col min="11988" max="11988" width="10.7109375" style="228" customWidth="1"/>
    <col min="11989" max="11989" width="5.7109375" style="228" customWidth="1"/>
    <col min="11990" max="11990" width="3.28515625" style="228" bestFit="1" customWidth="1"/>
    <col min="11991" max="11991" width="8.7109375" style="228" customWidth="1"/>
    <col min="11992" max="11992" width="4.7109375" style="228" customWidth="1"/>
    <col min="11993" max="11993" width="10.7109375" style="228" customWidth="1"/>
    <col min="11994" max="11994" width="5.7109375" style="228" customWidth="1"/>
    <col min="11995" max="11995" width="3.28515625" style="228" customWidth="1"/>
    <col min="11996" max="11996" width="8.42578125" style="228" bestFit="1" customWidth="1"/>
    <col min="11997" max="11997" width="8.85546875" style="228" customWidth="1"/>
    <col min="11998" max="12008" width="10.7109375" style="228" customWidth="1"/>
    <col min="12009" max="12009" width="13.28515625" style="228" customWidth="1"/>
    <col min="12010" max="12010" width="9.28515625" style="228" bestFit="1" customWidth="1"/>
    <col min="12011" max="12011" width="15.7109375" style="228" customWidth="1"/>
    <col min="12012" max="12012" width="7" style="228" customWidth="1"/>
    <col min="12013" max="12014" width="13" style="228" customWidth="1"/>
    <col min="12015" max="12021" width="18.7109375" style="228" customWidth="1"/>
    <col min="12022" max="12022" width="21.7109375" style="228" bestFit="1" customWidth="1"/>
    <col min="12023" max="12024" width="8.7109375" style="228" customWidth="1"/>
    <col min="12025" max="12025" width="18.42578125" style="228" customWidth="1"/>
    <col min="12026" max="12031" width="15" style="228" customWidth="1"/>
    <col min="12032" max="12032" width="21.7109375" style="228" bestFit="1" customWidth="1"/>
    <col min="12033" max="12033" width="7.28515625" style="228" customWidth="1"/>
    <col min="12034" max="12034" width="14.85546875" style="228" customWidth="1"/>
    <col min="12035" max="12035" width="15.140625" style="228" bestFit="1" customWidth="1"/>
    <col min="12036" max="12036" width="25.42578125" style="228" customWidth="1"/>
    <col min="12037" max="12037" width="5.85546875" style="228" bestFit="1" customWidth="1"/>
    <col min="12038" max="12038" width="6.7109375" style="228" bestFit="1" customWidth="1"/>
    <col min="12039" max="12043" width="8.42578125" style="228" bestFit="1" customWidth="1"/>
    <col min="12044" max="12046" width="14" style="228" customWidth="1"/>
    <col min="12047" max="12240" width="9.140625" style="228"/>
    <col min="12241" max="12242" width="8.7109375" style="228" customWidth="1"/>
    <col min="12243" max="12243" width="4.7109375" style="228" customWidth="1"/>
    <col min="12244" max="12244" width="10.7109375" style="228" customWidth="1"/>
    <col min="12245" max="12245" width="5.7109375" style="228" customWidth="1"/>
    <col min="12246" max="12246" width="3.28515625" style="228" bestFit="1" customWidth="1"/>
    <col min="12247" max="12247" width="8.7109375" style="228" customWidth="1"/>
    <col min="12248" max="12248" width="4.7109375" style="228" customWidth="1"/>
    <col min="12249" max="12249" width="10.7109375" style="228" customWidth="1"/>
    <col min="12250" max="12250" width="5.7109375" style="228" customWidth="1"/>
    <col min="12251" max="12251" width="3.28515625" style="228" customWidth="1"/>
    <col min="12252" max="12252" width="8.42578125" style="228" bestFit="1" customWidth="1"/>
    <col min="12253" max="12253" width="8.85546875" style="228" customWidth="1"/>
    <col min="12254" max="12264" width="10.7109375" style="228" customWidth="1"/>
    <col min="12265" max="12265" width="13.28515625" style="228" customWidth="1"/>
    <col min="12266" max="12266" width="9.28515625" style="228" bestFit="1" customWidth="1"/>
    <col min="12267" max="12267" width="15.7109375" style="228" customWidth="1"/>
    <col min="12268" max="12268" width="7" style="228" customWidth="1"/>
    <col min="12269" max="12270" width="13" style="228" customWidth="1"/>
    <col min="12271" max="12277" width="18.7109375" style="228" customWidth="1"/>
    <col min="12278" max="12278" width="21.7109375" style="228" bestFit="1" customWidth="1"/>
    <col min="12279" max="12280" width="8.7109375" style="228" customWidth="1"/>
    <col min="12281" max="12281" width="18.42578125" style="228" customWidth="1"/>
    <col min="12282" max="12287" width="15" style="228" customWidth="1"/>
    <col min="12288" max="12288" width="21.7109375" style="228" bestFit="1" customWidth="1"/>
    <col min="12289" max="12289" width="7.28515625" style="228" customWidth="1"/>
    <col min="12290" max="12290" width="14.85546875" style="228" customWidth="1"/>
    <col min="12291" max="12291" width="15.140625" style="228" bestFit="1" customWidth="1"/>
    <col min="12292" max="12292" width="25.42578125" style="228" customWidth="1"/>
    <col min="12293" max="12293" width="5.85546875" style="228" bestFit="1" customWidth="1"/>
    <col min="12294" max="12294" width="6.7109375" style="228" bestFit="1" customWidth="1"/>
    <col min="12295" max="12299" width="8.42578125" style="228" bestFit="1" customWidth="1"/>
    <col min="12300" max="12302" width="14" style="228" customWidth="1"/>
    <col min="12303" max="12496" width="9.140625" style="228"/>
    <col min="12497" max="12498" width="8.7109375" style="228" customWidth="1"/>
    <col min="12499" max="12499" width="4.7109375" style="228" customWidth="1"/>
    <col min="12500" max="12500" width="10.7109375" style="228" customWidth="1"/>
    <col min="12501" max="12501" width="5.7109375" style="228" customWidth="1"/>
    <col min="12502" max="12502" width="3.28515625" style="228" bestFit="1" customWidth="1"/>
    <col min="12503" max="12503" width="8.7109375" style="228" customWidth="1"/>
    <col min="12504" max="12504" width="4.7109375" style="228" customWidth="1"/>
    <col min="12505" max="12505" width="10.7109375" style="228" customWidth="1"/>
    <col min="12506" max="12506" width="5.7109375" style="228" customWidth="1"/>
    <col min="12507" max="12507" width="3.28515625" style="228" customWidth="1"/>
    <col min="12508" max="12508" width="8.42578125" style="228" bestFit="1" customWidth="1"/>
    <col min="12509" max="12509" width="8.85546875" style="228" customWidth="1"/>
    <col min="12510" max="12520" width="10.7109375" style="228" customWidth="1"/>
    <col min="12521" max="12521" width="13.28515625" style="228" customWidth="1"/>
    <col min="12522" max="12522" width="9.28515625" style="228" bestFit="1" customWidth="1"/>
    <col min="12523" max="12523" width="15.7109375" style="228" customWidth="1"/>
    <col min="12524" max="12524" width="7" style="228" customWidth="1"/>
    <col min="12525" max="12526" width="13" style="228" customWidth="1"/>
    <col min="12527" max="12533" width="18.7109375" style="228" customWidth="1"/>
    <col min="12534" max="12534" width="21.7109375" style="228" bestFit="1" customWidth="1"/>
    <col min="12535" max="12536" width="8.7109375" style="228" customWidth="1"/>
    <col min="12537" max="12537" width="18.42578125" style="228" customWidth="1"/>
    <col min="12538" max="12543" width="15" style="228" customWidth="1"/>
    <col min="12544" max="12544" width="21.7109375" style="228" bestFit="1" customWidth="1"/>
    <col min="12545" max="12545" width="7.28515625" style="228" customWidth="1"/>
    <col min="12546" max="12546" width="14.85546875" style="228" customWidth="1"/>
    <col min="12547" max="12547" width="15.140625" style="228" bestFit="1" customWidth="1"/>
    <col min="12548" max="12548" width="25.42578125" style="228" customWidth="1"/>
    <col min="12549" max="12549" width="5.85546875" style="228" bestFit="1" customWidth="1"/>
    <col min="12550" max="12550" width="6.7109375" style="228" bestFit="1" customWidth="1"/>
    <col min="12551" max="12555" width="8.42578125" style="228" bestFit="1" customWidth="1"/>
    <col min="12556" max="12558" width="14" style="228" customWidth="1"/>
    <col min="12559" max="12752" width="9.140625" style="228"/>
    <col min="12753" max="12754" width="8.7109375" style="228" customWidth="1"/>
    <col min="12755" max="12755" width="4.7109375" style="228" customWidth="1"/>
    <col min="12756" max="12756" width="10.7109375" style="228" customWidth="1"/>
    <col min="12757" max="12757" width="5.7109375" style="228" customWidth="1"/>
    <col min="12758" max="12758" width="3.28515625" style="228" bestFit="1" customWidth="1"/>
    <col min="12759" max="12759" width="8.7109375" style="228" customWidth="1"/>
    <col min="12760" max="12760" width="4.7109375" style="228" customWidth="1"/>
    <col min="12761" max="12761" width="10.7109375" style="228" customWidth="1"/>
    <col min="12762" max="12762" width="5.7109375" style="228" customWidth="1"/>
    <col min="12763" max="12763" width="3.28515625" style="228" customWidth="1"/>
    <col min="12764" max="12764" width="8.42578125" style="228" bestFit="1" customWidth="1"/>
    <col min="12765" max="12765" width="8.85546875" style="228" customWidth="1"/>
    <col min="12766" max="12776" width="10.7109375" style="228" customWidth="1"/>
    <col min="12777" max="12777" width="13.28515625" style="228" customWidth="1"/>
    <col min="12778" max="12778" width="9.28515625" style="228" bestFit="1" customWidth="1"/>
    <col min="12779" max="12779" width="15.7109375" style="228" customWidth="1"/>
    <col min="12780" max="12780" width="7" style="228" customWidth="1"/>
    <col min="12781" max="12782" width="13" style="228" customWidth="1"/>
    <col min="12783" max="12789" width="18.7109375" style="228" customWidth="1"/>
    <col min="12790" max="12790" width="21.7109375" style="228" bestFit="1" customWidth="1"/>
    <col min="12791" max="12792" width="8.7109375" style="228" customWidth="1"/>
    <col min="12793" max="12793" width="18.42578125" style="228" customWidth="1"/>
    <col min="12794" max="12799" width="15" style="228" customWidth="1"/>
    <col min="12800" max="12800" width="21.7109375" style="228" bestFit="1" customWidth="1"/>
    <col min="12801" max="12801" width="7.28515625" style="228" customWidth="1"/>
    <col min="12802" max="12802" width="14.85546875" style="228" customWidth="1"/>
    <col min="12803" max="12803" width="15.140625" style="228" bestFit="1" customWidth="1"/>
    <col min="12804" max="12804" width="25.42578125" style="228" customWidth="1"/>
    <col min="12805" max="12805" width="5.85546875" style="228" bestFit="1" customWidth="1"/>
    <col min="12806" max="12806" width="6.7109375" style="228" bestFit="1" customWidth="1"/>
    <col min="12807" max="12811" width="8.42578125" style="228" bestFit="1" customWidth="1"/>
    <col min="12812" max="12814" width="14" style="228" customWidth="1"/>
    <col min="12815" max="13008" width="9.140625" style="228"/>
    <col min="13009" max="13010" width="8.7109375" style="228" customWidth="1"/>
    <col min="13011" max="13011" width="4.7109375" style="228" customWidth="1"/>
    <col min="13012" max="13012" width="10.7109375" style="228" customWidth="1"/>
    <col min="13013" max="13013" width="5.7109375" style="228" customWidth="1"/>
    <col min="13014" max="13014" width="3.28515625" style="228" bestFit="1" customWidth="1"/>
    <col min="13015" max="13015" width="8.7109375" style="228" customWidth="1"/>
    <col min="13016" max="13016" width="4.7109375" style="228" customWidth="1"/>
    <col min="13017" max="13017" width="10.7109375" style="228" customWidth="1"/>
    <col min="13018" max="13018" width="5.7109375" style="228" customWidth="1"/>
    <col min="13019" max="13019" width="3.28515625" style="228" customWidth="1"/>
    <col min="13020" max="13020" width="8.42578125" style="228" bestFit="1" customWidth="1"/>
    <col min="13021" max="13021" width="8.85546875" style="228" customWidth="1"/>
    <col min="13022" max="13032" width="10.7109375" style="228" customWidth="1"/>
    <col min="13033" max="13033" width="13.28515625" style="228" customWidth="1"/>
    <col min="13034" max="13034" width="9.28515625" style="228" bestFit="1" customWidth="1"/>
    <col min="13035" max="13035" width="15.7109375" style="228" customWidth="1"/>
    <col min="13036" max="13036" width="7" style="228" customWidth="1"/>
    <col min="13037" max="13038" width="13" style="228" customWidth="1"/>
    <col min="13039" max="13045" width="18.7109375" style="228" customWidth="1"/>
    <col min="13046" max="13046" width="21.7109375" style="228" bestFit="1" customWidth="1"/>
    <col min="13047" max="13048" width="8.7109375" style="228" customWidth="1"/>
    <col min="13049" max="13049" width="18.42578125" style="228" customWidth="1"/>
    <col min="13050" max="13055" width="15" style="228" customWidth="1"/>
    <col min="13056" max="13056" width="21.7109375" style="228" bestFit="1" customWidth="1"/>
    <col min="13057" max="13057" width="7.28515625" style="228" customWidth="1"/>
    <col min="13058" max="13058" width="14.85546875" style="228" customWidth="1"/>
    <col min="13059" max="13059" width="15.140625" style="228" bestFit="1" customWidth="1"/>
    <col min="13060" max="13060" width="25.42578125" style="228" customWidth="1"/>
    <col min="13061" max="13061" width="5.85546875" style="228" bestFit="1" customWidth="1"/>
    <col min="13062" max="13062" width="6.7109375" style="228" bestFit="1" customWidth="1"/>
    <col min="13063" max="13067" width="8.42578125" style="228" bestFit="1" customWidth="1"/>
    <col min="13068" max="13070" width="14" style="228" customWidth="1"/>
    <col min="13071" max="13264" width="9.140625" style="228"/>
    <col min="13265" max="13266" width="8.7109375" style="228" customWidth="1"/>
    <col min="13267" max="13267" width="4.7109375" style="228" customWidth="1"/>
    <col min="13268" max="13268" width="10.7109375" style="228" customWidth="1"/>
    <col min="13269" max="13269" width="5.7109375" style="228" customWidth="1"/>
    <col min="13270" max="13270" width="3.28515625" style="228" bestFit="1" customWidth="1"/>
    <col min="13271" max="13271" width="8.7109375" style="228" customWidth="1"/>
    <col min="13272" max="13272" width="4.7109375" style="228" customWidth="1"/>
    <col min="13273" max="13273" width="10.7109375" style="228" customWidth="1"/>
    <col min="13274" max="13274" width="5.7109375" style="228" customWidth="1"/>
    <col min="13275" max="13275" width="3.28515625" style="228" customWidth="1"/>
    <col min="13276" max="13276" width="8.42578125" style="228" bestFit="1" customWidth="1"/>
    <col min="13277" max="13277" width="8.85546875" style="228" customWidth="1"/>
    <col min="13278" max="13288" width="10.7109375" style="228" customWidth="1"/>
    <col min="13289" max="13289" width="13.28515625" style="228" customWidth="1"/>
    <col min="13290" max="13290" width="9.28515625" style="228" bestFit="1" customWidth="1"/>
    <col min="13291" max="13291" width="15.7109375" style="228" customWidth="1"/>
    <col min="13292" max="13292" width="7" style="228" customWidth="1"/>
    <col min="13293" max="13294" width="13" style="228" customWidth="1"/>
    <col min="13295" max="13301" width="18.7109375" style="228" customWidth="1"/>
    <col min="13302" max="13302" width="21.7109375" style="228" bestFit="1" customWidth="1"/>
    <col min="13303" max="13304" width="8.7109375" style="228" customWidth="1"/>
    <col min="13305" max="13305" width="18.42578125" style="228" customWidth="1"/>
    <col min="13306" max="13311" width="15" style="228" customWidth="1"/>
    <col min="13312" max="13312" width="21.7109375" style="228" bestFit="1" customWidth="1"/>
    <col min="13313" max="13313" width="7.28515625" style="228" customWidth="1"/>
    <col min="13314" max="13314" width="14.85546875" style="228" customWidth="1"/>
    <col min="13315" max="13315" width="15.140625" style="228" bestFit="1" customWidth="1"/>
    <col min="13316" max="13316" width="25.42578125" style="228" customWidth="1"/>
    <col min="13317" max="13317" width="5.85546875" style="228" bestFit="1" customWidth="1"/>
    <col min="13318" max="13318" width="6.7109375" style="228" bestFit="1" customWidth="1"/>
    <col min="13319" max="13323" width="8.42578125" style="228" bestFit="1" customWidth="1"/>
    <col min="13324" max="13326" width="14" style="228" customWidth="1"/>
    <col min="13327" max="13520" width="9.140625" style="228"/>
    <col min="13521" max="13522" width="8.7109375" style="228" customWidth="1"/>
    <col min="13523" max="13523" width="4.7109375" style="228" customWidth="1"/>
    <col min="13524" max="13524" width="10.7109375" style="228" customWidth="1"/>
    <col min="13525" max="13525" width="5.7109375" style="228" customWidth="1"/>
    <col min="13526" max="13526" width="3.28515625" style="228" bestFit="1" customWidth="1"/>
    <col min="13527" max="13527" width="8.7109375" style="228" customWidth="1"/>
    <col min="13528" max="13528" width="4.7109375" style="228" customWidth="1"/>
    <col min="13529" max="13529" width="10.7109375" style="228" customWidth="1"/>
    <col min="13530" max="13530" width="5.7109375" style="228" customWidth="1"/>
    <col min="13531" max="13531" width="3.28515625" style="228" customWidth="1"/>
    <col min="13532" max="13532" width="8.42578125" style="228" bestFit="1" customWidth="1"/>
    <col min="13533" max="13533" width="8.85546875" style="228" customWidth="1"/>
    <col min="13534" max="13544" width="10.7109375" style="228" customWidth="1"/>
    <col min="13545" max="13545" width="13.28515625" style="228" customWidth="1"/>
    <col min="13546" max="13546" width="9.28515625" style="228" bestFit="1" customWidth="1"/>
    <col min="13547" max="13547" width="15.7109375" style="228" customWidth="1"/>
    <col min="13548" max="13548" width="7" style="228" customWidth="1"/>
    <col min="13549" max="13550" width="13" style="228" customWidth="1"/>
    <col min="13551" max="13557" width="18.7109375" style="228" customWidth="1"/>
    <col min="13558" max="13558" width="21.7109375" style="228" bestFit="1" customWidth="1"/>
    <col min="13559" max="13560" width="8.7109375" style="228" customWidth="1"/>
    <col min="13561" max="13561" width="18.42578125" style="228" customWidth="1"/>
    <col min="13562" max="13567" width="15" style="228" customWidth="1"/>
    <col min="13568" max="13568" width="21.7109375" style="228" bestFit="1" customWidth="1"/>
    <col min="13569" max="13569" width="7.28515625" style="228" customWidth="1"/>
    <col min="13570" max="13570" width="14.85546875" style="228" customWidth="1"/>
    <col min="13571" max="13571" width="15.140625" style="228" bestFit="1" customWidth="1"/>
    <col min="13572" max="13572" width="25.42578125" style="228" customWidth="1"/>
    <col min="13573" max="13573" width="5.85546875" style="228" bestFit="1" customWidth="1"/>
    <col min="13574" max="13574" width="6.7109375" style="228" bestFit="1" customWidth="1"/>
    <col min="13575" max="13579" width="8.42578125" style="228" bestFit="1" customWidth="1"/>
    <col min="13580" max="13582" width="14" style="228" customWidth="1"/>
    <col min="13583" max="13776" width="9.140625" style="228"/>
    <col min="13777" max="13778" width="8.7109375" style="228" customWidth="1"/>
    <col min="13779" max="13779" width="4.7109375" style="228" customWidth="1"/>
    <col min="13780" max="13780" width="10.7109375" style="228" customWidth="1"/>
    <col min="13781" max="13781" width="5.7109375" style="228" customWidth="1"/>
    <col min="13782" max="13782" width="3.28515625" style="228" bestFit="1" customWidth="1"/>
    <col min="13783" max="13783" width="8.7109375" style="228" customWidth="1"/>
    <col min="13784" max="13784" width="4.7109375" style="228" customWidth="1"/>
    <col min="13785" max="13785" width="10.7109375" style="228" customWidth="1"/>
    <col min="13786" max="13786" width="5.7109375" style="228" customWidth="1"/>
    <col min="13787" max="13787" width="3.28515625" style="228" customWidth="1"/>
    <col min="13788" max="13788" width="8.42578125" style="228" bestFit="1" customWidth="1"/>
    <col min="13789" max="13789" width="8.85546875" style="228" customWidth="1"/>
    <col min="13790" max="13800" width="10.7109375" style="228" customWidth="1"/>
    <col min="13801" max="13801" width="13.28515625" style="228" customWidth="1"/>
    <col min="13802" max="13802" width="9.28515625" style="228" bestFit="1" customWidth="1"/>
    <col min="13803" max="13803" width="15.7109375" style="228" customWidth="1"/>
    <col min="13804" max="13804" width="7" style="228" customWidth="1"/>
    <col min="13805" max="13806" width="13" style="228" customWidth="1"/>
    <col min="13807" max="13813" width="18.7109375" style="228" customWidth="1"/>
    <col min="13814" max="13814" width="21.7109375" style="228" bestFit="1" customWidth="1"/>
    <col min="13815" max="13816" width="8.7109375" style="228" customWidth="1"/>
    <col min="13817" max="13817" width="18.42578125" style="228" customWidth="1"/>
    <col min="13818" max="13823" width="15" style="228" customWidth="1"/>
    <col min="13824" max="13824" width="21.7109375" style="228" bestFit="1" customWidth="1"/>
    <col min="13825" max="13825" width="7.28515625" style="228" customWidth="1"/>
    <col min="13826" max="13826" width="14.85546875" style="228" customWidth="1"/>
    <col min="13827" max="13827" width="15.140625" style="228" bestFit="1" customWidth="1"/>
    <col min="13828" max="13828" width="25.42578125" style="228" customWidth="1"/>
    <col min="13829" max="13829" width="5.85546875" style="228" bestFit="1" customWidth="1"/>
    <col min="13830" max="13830" width="6.7109375" style="228" bestFit="1" customWidth="1"/>
    <col min="13831" max="13835" width="8.42578125" style="228" bestFit="1" customWidth="1"/>
    <col min="13836" max="13838" width="14" style="228" customWidth="1"/>
    <col min="13839" max="14032" width="9.140625" style="228"/>
    <col min="14033" max="14034" width="8.7109375" style="228" customWidth="1"/>
    <col min="14035" max="14035" width="4.7109375" style="228" customWidth="1"/>
    <col min="14036" max="14036" width="10.7109375" style="228" customWidth="1"/>
    <col min="14037" max="14037" width="5.7109375" style="228" customWidth="1"/>
    <col min="14038" max="14038" width="3.28515625" style="228" bestFit="1" customWidth="1"/>
    <col min="14039" max="14039" width="8.7109375" style="228" customWidth="1"/>
    <col min="14040" max="14040" width="4.7109375" style="228" customWidth="1"/>
    <col min="14041" max="14041" width="10.7109375" style="228" customWidth="1"/>
    <col min="14042" max="14042" width="5.7109375" style="228" customWidth="1"/>
    <col min="14043" max="14043" width="3.28515625" style="228" customWidth="1"/>
    <col min="14044" max="14044" width="8.42578125" style="228" bestFit="1" customWidth="1"/>
    <col min="14045" max="14045" width="8.85546875" style="228" customWidth="1"/>
    <col min="14046" max="14056" width="10.7109375" style="228" customWidth="1"/>
    <col min="14057" max="14057" width="13.28515625" style="228" customWidth="1"/>
    <col min="14058" max="14058" width="9.28515625" style="228" bestFit="1" customWidth="1"/>
    <col min="14059" max="14059" width="15.7109375" style="228" customWidth="1"/>
    <col min="14060" max="14060" width="7" style="228" customWidth="1"/>
    <col min="14061" max="14062" width="13" style="228" customWidth="1"/>
    <col min="14063" max="14069" width="18.7109375" style="228" customWidth="1"/>
    <col min="14070" max="14070" width="21.7109375" style="228" bestFit="1" customWidth="1"/>
    <col min="14071" max="14072" width="8.7109375" style="228" customWidth="1"/>
    <col min="14073" max="14073" width="18.42578125" style="228" customWidth="1"/>
    <col min="14074" max="14079" width="15" style="228" customWidth="1"/>
    <col min="14080" max="14080" width="21.7109375" style="228" bestFit="1" customWidth="1"/>
    <col min="14081" max="14081" width="7.28515625" style="228" customWidth="1"/>
    <col min="14082" max="14082" width="14.85546875" style="228" customWidth="1"/>
    <col min="14083" max="14083" width="15.140625" style="228" bestFit="1" customWidth="1"/>
    <col min="14084" max="14084" width="25.42578125" style="228" customWidth="1"/>
    <col min="14085" max="14085" width="5.85546875" style="228" bestFit="1" customWidth="1"/>
    <col min="14086" max="14086" width="6.7109375" style="228" bestFit="1" customWidth="1"/>
    <col min="14087" max="14091" width="8.42578125" style="228" bestFit="1" customWidth="1"/>
    <col min="14092" max="14094" width="14" style="228" customWidth="1"/>
    <col min="14095" max="14288" width="9.140625" style="228"/>
    <col min="14289" max="14290" width="8.7109375" style="228" customWidth="1"/>
    <col min="14291" max="14291" width="4.7109375" style="228" customWidth="1"/>
    <col min="14292" max="14292" width="10.7109375" style="228" customWidth="1"/>
    <col min="14293" max="14293" width="5.7109375" style="228" customWidth="1"/>
    <col min="14294" max="14294" width="3.28515625" style="228" bestFit="1" customWidth="1"/>
    <col min="14295" max="14295" width="8.7109375" style="228" customWidth="1"/>
    <col min="14296" max="14296" width="4.7109375" style="228" customWidth="1"/>
    <col min="14297" max="14297" width="10.7109375" style="228" customWidth="1"/>
    <col min="14298" max="14298" width="5.7109375" style="228" customWidth="1"/>
    <col min="14299" max="14299" width="3.28515625" style="228" customWidth="1"/>
    <col min="14300" max="14300" width="8.42578125" style="228" bestFit="1" customWidth="1"/>
    <col min="14301" max="14301" width="8.85546875" style="228" customWidth="1"/>
    <col min="14302" max="14312" width="10.7109375" style="228" customWidth="1"/>
    <col min="14313" max="14313" width="13.28515625" style="228" customWidth="1"/>
    <col min="14314" max="14314" width="9.28515625" style="228" bestFit="1" customWidth="1"/>
    <col min="14315" max="14315" width="15.7109375" style="228" customWidth="1"/>
    <col min="14316" max="14316" width="7" style="228" customWidth="1"/>
    <col min="14317" max="14318" width="13" style="228" customWidth="1"/>
    <col min="14319" max="14325" width="18.7109375" style="228" customWidth="1"/>
    <col min="14326" max="14326" width="21.7109375" style="228" bestFit="1" customWidth="1"/>
    <col min="14327" max="14328" width="8.7109375" style="228" customWidth="1"/>
    <col min="14329" max="14329" width="18.42578125" style="228" customWidth="1"/>
    <col min="14330" max="14335" width="15" style="228" customWidth="1"/>
    <col min="14336" max="14336" width="21.7109375" style="228" bestFit="1" customWidth="1"/>
    <col min="14337" max="14337" width="7.28515625" style="228" customWidth="1"/>
    <col min="14338" max="14338" width="14.85546875" style="228" customWidth="1"/>
    <col min="14339" max="14339" width="15.140625" style="228" bestFit="1" customWidth="1"/>
    <col min="14340" max="14340" width="25.42578125" style="228" customWidth="1"/>
    <col min="14341" max="14341" width="5.85546875" style="228" bestFit="1" customWidth="1"/>
    <col min="14342" max="14342" width="6.7109375" style="228" bestFit="1" customWidth="1"/>
    <col min="14343" max="14347" width="8.42578125" style="228" bestFit="1" customWidth="1"/>
    <col min="14348" max="14350" width="14" style="228" customWidth="1"/>
    <col min="14351" max="14544" width="9.140625" style="228"/>
    <col min="14545" max="14546" width="8.7109375" style="228" customWidth="1"/>
    <col min="14547" max="14547" width="4.7109375" style="228" customWidth="1"/>
    <col min="14548" max="14548" width="10.7109375" style="228" customWidth="1"/>
    <col min="14549" max="14549" width="5.7109375" style="228" customWidth="1"/>
    <col min="14550" max="14550" width="3.28515625" style="228" bestFit="1" customWidth="1"/>
    <col min="14551" max="14551" width="8.7109375" style="228" customWidth="1"/>
    <col min="14552" max="14552" width="4.7109375" style="228" customWidth="1"/>
    <col min="14553" max="14553" width="10.7109375" style="228" customWidth="1"/>
    <col min="14554" max="14554" width="5.7109375" style="228" customWidth="1"/>
    <col min="14555" max="14555" width="3.28515625" style="228" customWidth="1"/>
    <col min="14556" max="14556" width="8.42578125" style="228" bestFit="1" customWidth="1"/>
    <col min="14557" max="14557" width="8.85546875" style="228" customWidth="1"/>
    <col min="14558" max="14568" width="10.7109375" style="228" customWidth="1"/>
    <col min="14569" max="14569" width="13.28515625" style="228" customWidth="1"/>
    <col min="14570" max="14570" width="9.28515625" style="228" bestFit="1" customWidth="1"/>
    <col min="14571" max="14571" width="15.7109375" style="228" customWidth="1"/>
    <col min="14572" max="14572" width="7" style="228" customWidth="1"/>
    <col min="14573" max="14574" width="13" style="228" customWidth="1"/>
    <col min="14575" max="14581" width="18.7109375" style="228" customWidth="1"/>
    <col min="14582" max="14582" width="21.7109375" style="228" bestFit="1" customWidth="1"/>
    <col min="14583" max="14584" width="8.7109375" style="228" customWidth="1"/>
    <col min="14585" max="14585" width="18.42578125" style="228" customWidth="1"/>
    <col min="14586" max="14591" width="15" style="228" customWidth="1"/>
    <col min="14592" max="14592" width="21.7109375" style="228" bestFit="1" customWidth="1"/>
    <col min="14593" max="14593" width="7.28515625" style="228" customWidth="1"/>
    <col min="14594" max="14594" width="14.85546875" style="228" customWidth="1"/>
    <col min="14595" max="14595" width="15.140625" style="228" bestFit="1" customWidth="1"/>
    <col min="14596" max="14596" width="25.42578125" style="228" customWidth="1"/>
    <col min="14597" max="14597" width="5.85546875" style="228" bestFit="1" customWidth="1"/>
    <col min="14598" max="14598" width="6.7109375" style="228" bestFit="1" customWidth="1"/>
    <col min="14599" max="14603" width="8.42578125" style="228" bestFit="1" customWidth="1"/>
    <col min="14604" max="14606" width="14" style="228" customWidth="1"/>
    <col min="14607" max="14800" width="9.140625" style="228"/>
    <col min="14801" max="14802" width="8.7109375" style="228" customWidth="1"/>
    <col min="14803" max="14803" width="4.7109375" style="228" customWidth="1"/>
    <col min="14804" max="14804" width="10.7109375" style="228" customWidth="1"/>
    <col min="14805" max="14805" width="5.7109375" style="228" customWidth="1"/>
    <col min="14806" max="14806" width="3.28515625" style="228" bestFit="1" customWidth="1"/>
    <col min="14807" max="14807" width="8.7109375" style="228" customWidth="1"/>
    <col min="14808" max="14808" width="4.7109375" style="228" customWidth="1"/>
    <col min="14809" max="14809" width="10.7109375" style="228" customWidth="1"/>
    <col min="14810" max="14810" width="5.7109375" style="228" customWidth="1"/>
    <col min="14811" max="14811" width="3.28515625" style="228" customWidth="1"/>
    <col min="14812" max="14812" width="8.42578125" style="228" bestFit="1" customWidth="1"/>
    <col min="14813" max="14813" width="8.85546875" style="228" customWidth="1"/>
    <col min="14814" max="14824" width="10.7109375" style="228" customWidth="1"/>
    <col min="14825" max="14825" width="13.28515625" style="228" customWidth="1"/>
    <col min="14826" max="14826" width="9.28515625" style="228" bestFit="1" customWidth="1"/>
    <col min="14827" max="14827" width="15.7109375" style="228" customWidth="1"/>
    <col min="14828" max="14828" width="7" style="228" customWidth="1"/>
    <col min="14829" max="14830" width="13" style="228" customWidth="1"/>
    <col min="14831" max="14837" width="18.7109375" style="228" customWidth="1"/>
    <col min="14838" max="14838" width="21.7109375" style="228" bestFit="1" customWidth="1"/>
    <col min="14839" max="14840" width="8.7109375" style="228" customWidth="1"/>
    <col min="14841" max="14841" width="18.42578125" style="228" customWidth="1"/>
    <col min="14842" max="14847" width="15" style="228" customWidth="1"/>
    <col min="14848" max="14848" width="21.7109375" style="228" bestFit="1" customWidth="1"/>
    <col min="14849" max="14849" width="7.28515625" style="228" customWidth="1"/>
    <col min="14850" max="14850" width="14.85546875" style="228" customWidth="1"/>
    <col min="14851" max="14851" width="15.140625" style="228" bestFit="1" customWidth="1"/>
    <col min="14852" max="14852" width="25.42578125" style="228" customWidth="1"/>
    <col min="14853" max="14853" width="5.85546875" style="228" bestFit="1" customWidth="1"/>
    <col min="14854" max="14854" width="6.7109375" style="228" bestFit="1" customWidth="1"/>
    <col min="14855" max="14859" width="8.42578125" style="228" bestFit="1" customWidth="1"/>
    <col min="14860" max="14862" width="14" style="228" customWidth="1"/>
    <col min="14863" max="15056" width="9.140625" style="228"/>
    <col min="15057" max="15058" width="8.7109375" style="228" customWidth="1"/>
    <col min="15059" max="15059" width="4.7109375" style="228" customWidth="1"/>
    <col min="15060" max="15060" width="10.7109375" style="228" customWidth="1"/>
    <col min="15061" max="15061" width="5.7109375" style="228" customWidth="1"/>
    <col min="15062" max="15062" width="3.28515625" style="228" bestFit="1" customWidth="1"/>
    <col min="15063" max="15063" width="8.7109375" style="228" customWidth="1"/>
    <col min="15064" max="15064" width="4.7109375" style="228" customWidth="1"/>
    <col min="15065" max="15065" width="10.7109375" style="228" customWidth="1"/>
    <col min="15066" max="15066" width="5.7109375" style="228" customWidth="1"/>
    <col min="15067" max="15067" width="3.28515625" style="228" customWidth="1"/>
    <col min="15068" max="15068" width="8.42578125" style="228" bestFit="1" customWidth="1"/>
    <col min="15069" max="15069" width="8.85546875" style="228" customWidth="1"/>
    <col min="15070" max="15080" width="10.7109375" style="228" customWidth="1"/>
    <col min="15081" max="15081" width="13.28515625" style="228" customWidth="1"/>
    <col min="15082" max="15082" width="9.28515625" style="228" bestFit="1" customWidth="1"/>
    <col min="15083" max="15083" width="15.7109375" style="228" customWidth="1"/>
    <col min="15084" max="15084" width="7" style="228" customWidth="1"/>
    <col min="15085" max="15086" width="13" style="228" customWidth="1"/>
    <col min="15087" max="15093" width="18.7109375" style="228" customWidth="1"/>
    <col min="15094" max="15094" width="21.7109375" style="228" bestFit="1" customWidth="1"/>
    <col min="15095" max="15096" width="8.7109375" style="228" customWidth="1"/>
    <col min="15097" max="15097" width="18.42578125" style="228" customWidth="1"/>
    <col min="15098" max="15103" width="15" style="228" customWidth="1"/>
    <col min="15104" max="15104" width="21.7109375" style="228" bestFit="1" customWidth="1"/>
    <col min="15105" max="15105" width="7.28515625" style="228" customWidth="1"/>
    <col min="15106" max="15106" width="14.85546875" style="228" customWidth="1"/>
    <col min="15107" max="15107" width="15.140625" style="228" bestFit="1" customWidth="1"/>
    <col min="15108" max="15108" width="25.42578125" style="228" customWidth="1"/>
    <col min="15109" max="15109" width="5.85546875" style="228" bestFit="1" customWidth="1"/>
    <col min="15110" max="15110" width="6.7109375" style="228" bestFit="1" customWidth="1"/>
    <col min="15111" max="15115" width="8.42578125" style="228" bestFit="1" customWidth="1"/>
    <col min="15116" max="15118" width="14" style="228" customWidth="1"/>
    <col min="15119" max="15312" width="9.140625" style="228"/>
    <col min="15313" max="15314" width="8.7109375" style="228" customWidth="1"/>
    <col min="15315" max="15315" width="4.7109375" style="228" customWidth="1"/>
    <col min="15316" max="15316" width="10.7109375" style="228" customWidth="1"/>
    <col min="15317" max="15317" width="5.7109375" style="228" customWidth="1"/>
    <col min="15318" max="15318" width="3.28515625" style="228" bestFit="1" customWidth="1"/>
    <col min="15319" max="15319" width="8.7109375" style="228" customWidth="1"/>
    <col min="15320" max="15320" width="4.7109375" style="228" customWidth="1"/>
    <col min="15321" max="15321" width="10.7109375" style="228" customWidth="1"/>
    <col min="15322" max="15322" width="5.7109375" style="228" customWidth="1"/>
    <col min="15323" max="15323" width="3.28515625" style="228" customWidth="1"/>
    <col min="15324" max="15324" width="8.42578125" style="228" bestFit="1" customWidth="1"/>
    <col min="15325" max="15325" width="8.85546875" style="228" customWidth="1"/>
    <col min="15326" max="15336" width="10.7109375" style="228" customWidth="1"/>
    <col min="15337" max="15337" width="13.28515625" style="228" customWidth="1"/>
    <col min="15338" max="15338" width="9.28515625" style="228" bestFit="1" customWidth="1"/>
    <col min="15339" max="15339" width="15.7109375" style="228" customWidth="1"/>
    <col min="15340" max="15340" width="7" style="228" customWidth="1"/>
    <col min="15341" max="15342" width="13" style="228" customWidth="1"/>
    <col min="15343" max="15349" width="18.7109375" style="228" customWidth="1"/>
    <col min="15350" max="15350" width="21.7109375" style="228" bestFit="1" customWidth="1"/>
    <col min="15351" max="15352" width="8.7109375" style="228" customWidth="1"/>
    <col min="15353" max="15353" width="18.42578125" style="228" customWidth="1"/>
    <col min="15354" max="15359" width="15" style="228" customWidth="1"/>
    <col min="15360" max="15360" width="21.7109375" style="228" bestFit="1" customWidth="1"/>
    <col min="15361" max="15361" width="7.28515625" style="228" customWidth="1"/>
    <col min="15362" max="15362" width="14.85546875" style="228" customWidth="1"/>
    <col min="15363" max="15363" width="15.140625" style="228" bestFit="1" customWidth="1"/>
    <col min="15364" max="15364" width="25.42578125" style="228" customWidth="1"/>
    <col min="15365" max="15365" width="5.85546875" style="228" bestFit="1" customWidth="1"/>
    <col min="15366" max="15366" width="6.7109375" style="228" bestFit="1" customWidth="1"/>
    <col min="15367" max="15371" width="8.42578125" style="228" bestFit="1" customWidth="1"/>
    <col min="15372" max="15374" width="14" style="228" customWidth="1"/>
    <col min="15375" max="15568" width="9.140625" style="228"/>
    <col min="15569" max="15570" width="8.7109375" style="228" customWidth="1"/>
    <col min="15571" max="15571" width="4.7109375" style="228" customWidth="1"/>
    <col min="15572" max="15572" width="10.7109375" style="228" customWidth="1"/>
    <col min="15573" max="15573" width="5.7109375" style="228" customWidth="1"/>
    <col min="15574" max="15574" width="3.28515625" style="228" bestFit="1" customWidth="1"/>
    <col min="15575" max="15575" width="8.7109375" style="228" customWidth="1"/>
    <col min="15576" max="15576" width="4.7109375" style="228" customWidth="1"/>
    <col min="15577" max="15577" width="10.7109375" style="228" customWidth="1"/>
    <col min="15578" max="15578" width="5.7109375" style="228" customWidth="1"/>
    <col min="15579" max="15579" width="3.28515625" style="228" customWidth="1"/>
    <col min="15580" max="15580" width="8.42578125" style="228" bestFit="1" customWidth="1"/>
    <col min="15581" max="15581" width="8.85546875" style="228" customWidth="1"/>
    <col min="15582" max="15592" width="10.7109375" style="228" customWidth="1"/>
    <col min="15593" max="15593" width="13.28515625" style="228" customWidth="1"/>
    <col min="15594" max="15594" width="9.28515625" style="228" bestFit="1" customWidth="1"/>
    <col min="15595" max="15595" width="15.7109375" style="228" customWidth="1"/>
    <col min="15596" max="15596" width="7" style="228" customWidth="1"/>
    <col min="15597" max="15598" width="13" style="228" customWidth="1"/>
    <col min="15599" max="15605" width="18.7109375" style="228" customWidth="1"/>
    <col min="15606" max="15606" width="21.7109375" style="228" bestFit="1" customWidth="1"/>
    <col min="15607" max="15608" width="8.7109375" style="228" customWidth="1"/>
    <col min="15609" max="15609" width="18.42578125" style="228" customWidth="1"/>
    <col min="15610" max="15615" width="15" style="228" customWidth="1"/>
    <col min="15616" max="15616" width="21.7109375" style="228" bestFit="1" customWidth="1"/>
    <col min="15617" max="15617" width="7.28515625" style="228" customWidth="1"/>
    <col min="15618" max="15618" width="14.85546875" style="228" customWidth="1"/>
    <col min="15619" max="15619" width="15.140625" style="228" bestFit="1" customWidth="1"/>
    <col min="15620" max="15620" width="25.42578125" style="228" customWidth="1"/>
    <col min="15621" max="15621" width="5.85546875" style="228" bestFit="1" customWidth="1"/>
    <col min="15622" max="15622" width="6.7109375" style="228" bestFit="1" customWidth="1"/>
    <col min="15623" max="15627" width="8.42578125" style="228" bestFit="1" customWidth="1"/>
    <col min="15628" max="15630" width="14" style="228" customWidth="1"/>
    <col min="15631" max="15824" width="9.140625" style="228"/>
    <col min="15825" max="15826" width="8.7109375" style="228" customWidth="1"/>
    <col min="15827" max="15827" width="4.7109375" style="228" customWidth="1"/>
    <col min="15828" max="15828" width="10.7109375" style="228" customWidth="1"/>
    <col min="15829" max="15829" width="5.7109375" style="228" customWidth="1"/>
    <col min="15830" max="15830" width="3.28515625" style="228" bestFit="1" customWidth="1"/>
    <col min="15831" max="15831" width="8.7109375" style="228" customWidth="1"/>
    <col min="15832" max="15832" width="4.7109375" style="228" customWidth="1"/>
    <col min="15833" max="15833" width="10.7109375" style="228" customWidth="1"/>
    <col min="15834" max="15834" width="5.7109375" style="228" customWidth="1"/>
    <col min="15835" max="15835" width="3.28515625" style="228" customWidth="1"/>
    <col min="15836" max="15836" width="8.42578125" style="228" bestFit="1" customWidth="1"/>
    <col min="15837" max="15837" width="8.85546875" style="228" customWidth="1"/>
    <col min="15838" max="15848" width="10.7109375" style="228" customWidth="1"/>
    <col min="15849" max="15849" width="13.28515625" style="228" customWidth="1"/>
    <col min="15850" max="15850" width="9.28515625" style="228" bestFit="1" customWidth="1"/>
    <col min="15851" max="15851" width="15.7109375" style="228" customWidth="1"/>
    <col min="15852" max="15852" width="7" style="228" customWidth="1"/>
    <col min="15853" max="15854" width="13" style="228" customWidth="1"/>
    <col min="15855" max="15861" width="18.7109375" style="228" customWidth="1"/>
    <col min="15862" max="15862" width="21.7109375" style="228" bestFit="1" customWidth="1"/>
    <col min="15863" max="15864" width="8.7109375" style="228" customWidth="1"/>
    <col min="15865" max="15865" width="18.42578125" style="228" customWidth="1"/>
    <col min="15866" max="15871" width="15" style="228" customWidth="1"/>
    <col min="15872" max="15872" width="21.7109375" style="228" bestFit="1" customWidth="1"/>
    <col min="15873" max="15873" width="7.28515625" style="228" customWidth="1"/>
    <col min="15874" max="15874" width="14.85546875" style="228" customWidth="1"/>
    <col min="15875" max="15875" width="15.140625" style="228" bestFit="1" customWidth="1"/>
    <col min="15876" max="15876" width="25.42578125" style="228" customWidth="1"/>
    <col min="15877" max="15877" width="5.85546875" style="228" bestFit="1" customWidth="1"/>
    <col min="15878" max="15878" width="6.7109375" style="228" bestFit="1" customWidth="1"/>
    <col min="15879" max="15883" width="8.42578125" style="228" bestFit="1" customWidth="1"/>
    <col min="15884" max="15886" width="14" style="228" customWidth="1"/>
    <col min="15887" max="16080" width="9.140625" style="228"/>
    <col min="16081" max="16082" width="8.7109375" style="228" customWidth="1"/>
    <col min="16083" max="16083" width="4.7109375" style="228" customWidth="1"/>
    <col min="16084" max="16084" width="10.7109375" style="228" customWidth="1"/>
    <col min="16085" max="16085" width="5.7109375" style="228" customWidth="1"/>
    <col min="16086" max="16086" width="3.28515625" style="228" bestFit="1" customWidth="1"/>
    <col min="16087" max="16087" width="8.7109375" style="228" customWidth="1"/>
    <col min="16088" max="16088" width="4.7109375" style="228" customWidth="1"/>
    <col min="16089" max="16089" width="10.7109375" style="228" customWidth="1"/>
    <col min="16090" max="16090" width="5.7109375" style="228" customWidth="1"/>
    <col min="16091" max="16091" width="3.28515625" style="228" customWidth="1"/>
    <col min="16092" max="16092" width="8.42578125" style="228" bestFit="1" customWidth="1"/>
    <col min="16093" max="16093" width="8.85546875" style="228" customWidth="1"/>
    <col min="16094" max="16104" width="10.7109375" style="228" customWidth="1"/>
    <col min="16105" max="16105" width="13.28515625" style="228" customWidth="1"/>
    <col min="16106" max="16106" width="9.28515625" style="228" bestFit="1" customWidth="1"/>
    <col min="16107" max="16107" width="15.7109375" style="228" customWidth="1"/>
    <col min="16108" max="16108" width="7" style="228" customWidth="1"/>
    <col min="16109" max="16110" width="13" style="228" customWidth="1"/>
    <col min="16111" max="16117" width="18.7109375" style="228" customWidth="1"/>
    <col min="16118" max="16118" width="21.7109375" style="228" bestFit="1" customWidth="1"/>
    <col min="16119" max="16120" width="8.7109375" style="228" customWidth="1"/>
    <col min="16121" max="16121" width="18.42578125" style="228" customWidth="1"/>
    <col min="16122" max="16127" width="15" style="228" customWidth="1"/>
    <col min="16128" max="16128" width="21.7109375" style="228" bestFit="1" customWidth="1"/>
    <col min="16129" max="16129" width="7.28515625" style="228" customWidth="1"/>
    <col min="16130" max="16130" width="14.85546875" style="228" customWidth="1"/>
    <col min="16131" max="16131" width="15.140625" style="228" bestFit="1" customWidth="1"/>
    <col min="16132" max="16132" width="25.42578125" style="228" customWidth="1"/>
    <col min="16133" max="16133" width="5.85546875" style="228" bestFit="1" customWidth="1"/>
    <col min="16134" max="16134" width="6.7109375" style="228" bestFit="1" customWidth="1"/>
    <col min="16135" max="16139" width="8.42578125" style="228" bestFit="1" customWidth="1"/>
    <col min="16140" max="16142" width="14" style="228" customWidth="1"/>
    <col min="16143" max="16384" width="9.140625" style="228"/>
  </cols>
  <sheetData>
    <row r="1" spans="1:14" ht="15" customHeight="1" x14ac:dyDescent="0.2"/>
    <row r="2" spans="1:14" ht="15" customHeight="1" x14ac:dyDescent="0.2">
      <c r="A2" s="615" t="s">
        <v>338</v>
      </c>
      <c r="B2" s="615"/>
      <c r="C2" s="615"/>
      <c r="E2" s="237"/>
    </row>
    <row r="3" spans="1:14" ht="15" customHeight="1" x14ac:dyDescent="0.2">
      <c r="A3" s="200"/>
      <c r="B3" s="200"/>
      <c r="C3" s="235"/>
      <c r="D3" s="237"/>
    </row>
    <row r="4" spans="1:14" ht="15" customHeight="1" x14ac:dyDescent="0.2">
      <c r="A4" s="202"/>
      <c r="B4" s="202"/>
      <c r="C4" s="203">
        <v>465.012</v>
      </c>
      <c r="D4" s="237"/>
    </row>
    <row r="5" spans="1:14" ht="15" customHeight="1" x14ac:dyDescent="0.2">
      <c r="A5" s="202"/>
      <c r="B5" s="202"/>
      <c r="C5" s="211" t="s">
        <v>335</v>
      </c>
      <c r="D5" s="237"/>
    </row>
    <row r="6" spans="1:14" ht="15" customHeight="1" x14ac:dyDescent="0.2">
      <c r="A6" s="202"/>
      <c r="B6" s="202"/>
      <c r="C6" s="211" t="s">
        <v>337</v>
      </c>
      <c r="D6" s="237"/>
    </row>
    <row r="7" spans="1:14" ht="15" customHeight="1" x14ac:dyDescent="0.2">
      <c r="A7" s="202"/>
      <c r="B7" s="202"/>
      <c r="C7" s="211" t="s">
        <v>336</v>
      </c>
    </row>
    <row r="8" spans="1:14" ht="15" customHeight="1" thickBot="1" x14ac:dyDescent="0.25">
      <c r="A8" s="191" t="s">
        <v>174</v>
      </c>
      <c r="B8" s="217" t="s">
        <v>3</v>
      </c>
      <c r="C8" s="217" t="s">
        <v>27</v>
      </c>
      <c r="D8" s="237"/>
    </row>
    <row r="9" spans="1:14" ht="15" customHeight="1" thickTop="1" x14ac:dyDescent="0.2">
      <c r="A9" s="461"/>
      <c r="B9" s="461"/>
      <c r="C9" s="459"/>
      <c r="D9" s="237"/>
    </row>
    <row r="10" spans="1:14" s="222" customFormat="1" ht="15" customHeight="1" x14ac:dyDescent="0.2">
      <c r="A10" s="202" t="s">
        <v>108</v>
      </c>
      <c r="B10" s="459" t="s">
        <v>339</v>
      </c>
      <c r="C10" s="234">
        <f>CEILING((G12*110*1.5)/2000,10)</f>
        <v>20</v>
      </c>
      <c r="D10" s="237"/>
      <c r="E10" s="228"/>
      <c r="F10" s="228" t="s">
        <v>334</v>
      </c>
      <c r="G10" s="228"/>
      <c r="H10" s="228"/>
      <c r="I10" s="228"/>
      <c r="J10" s="228"/>
      <c r="K10" s="228"/>
      <c r="L10" s="228"/>
      <c r="M10" s="228"/>
    </row>
    <row r="11" spans="1:14" s="222" customFormat="1" ht="15" customHeight="1" x14ac:dyDescent="0.2">
      <c r="A11" s="214"/>
      <c r="B11" s="214"/>
      <c r="C11" s="459"/>
      <c r="D11" s="237"/>
      <c r="E11" s="228"/>
      <c r="F11" s="228"/>
      <c r="G11" s="228"/>
      <c r="H11" s="228"/>
      <c r="I11" s="228"/>
      <c r="J11" s="228"/>
      <c r="K11" s="228"/>
      <c r="L11" s="228"/>
      <c r="M11" s="228"/>
    </row>
    <row r="12" spans="1:14" s="222" customFormat="1" ht="15" customHeight="1" x14ac:dyDescent="0.2">
      <c r="A12" s="413" t="s">
        <v>163</v>
      </c>
      <c r="B12" s="413"/>
      <c r="C12" s="417">
        <f>SUM(C10:C11)</f>
        <v>20</v>
      </c>
      <c r="D12" s="237"/>
      <c r="E12" s="228"/>
      <c r="F12" s="228"/>
      <c r="G12" s="228">
        <f>((24*3)/9)*24</f>
        <v>192</v>
      </c>
      <c r="H12" s="228"/>
      <c r="I12" s="228"/>
      <c r="J12" s="228"/>
      <c r="K12" s="228"/>
      <c r="L12" s="228"/>
      <c r="M12" s="228"/>
    </row>
    <row r="13" spans="1:14" s="222" customFormat="1" x14ac:dyDescent="0.2">
      <c r="B13" s="244"/>
      <c r="C13" s="244"/>
      <c r="D13" s="237"/>
      <c r="E13" s="228"/>
      <c r="F13" s="228"/>
      <c r="G13" s="228"/>
      <c r="H13" s="228"/>
      <c r="I13" s="228"/>
      <c r="J13" s="228"/>
      <c r="K13" s="228"/>
      <c r="L13" s="228"/>
      <c r="M13" s="228"/>
    </row>
    <row r="14" spans="1:14" s="222" customFormat="1" x14ac:dyDescent="0.2">
      <c r="D14" s="237"/>
      <c r="E14" s="228"/>
      <c r="F14" s="228"/>
      <c r="G14" s="228"/>
      <c r="H14" s="228"/>
      <c r="I14" s="228"/>
      <c r="J14" s="228"/>
      <c r="K14" s="228"/>
      <c r="L14" s="228"/>
      <c r="M14" s="228"/>
    </row>
    <row r="15" spans="1:14" s="222" customFormat="1" x14ac:dyDescent="0.2">
      <c r="D15" s="237"/>
      <c r="E15" s="228"/>
      <c r="F15" s="228"/>
      <c r="G15" s="228"/>
      <c r="H15" s="228"/>
      <c r="I15" s="228"/>
      <c r="J15" s="228"/>
      <c r="K15" s="228"/>
      <c r="L15" s="228"/>
      <c r="M15" s="228"/>
    </row>
    <row r="16" spans="1:14" s="222" customFormat="1" ht="15" x14ac:dyDescent="0.25">
      <c r="A16" t="s">
        <v>333</v>
      </c>
      <c r="B16" s="246"/>
      <c r="C16" s="246"/>
      <c r="D16" s="246"/>
      <c r="E16" s="237"/>
      <c r="F16" s="228"/>
      <c r="G16" s="228"/>
      <c r="H16" s="228"/>
      <c r="I16" s="228"/>
      <c r="J16" s="228"/>
      <c r="K16" s="228"/>
      <c r="L16" s="228"/>
      <c r="M16" s="228"/>
      <c r="N16" s="228"/>
    </row>
    <row r="17" spans="1:329" s="222" customFormat="1" ht="15" x14ac:dyDescent="0.25">
      <c r="A17" t="s">
        <v>221</v>
      </c>
      <c r="B17" s="247"/>
      <c r="C17" s="247"/>
      <c r="D17" s="243"/>
      <c r="E17" s="237"/>
      <c r="F17" s="228"/>
      <c r="G17" s="228"/>
      <c r="H17" s="228"/>
      <c r="I17" s="228"/>
      <c r="J17" s="228"/>
      <c r="K17" s="228"/>
      <c r="L17" s="228"/>
      <c r="M17" s="228"/>
      <c r="N17" s="228"/>
    </row>
    <row r="18" spans="1:329" s="222" customFormat="1" x14ac:dyDescent="0.2">
      <c r="B18" s="239"/>
      <c r="C18" s="239"/>
      <c r="D18" s="241"/>
      <c r="E18" s="237"/>
      <c r="F18" s="228"/>
      <c r="G18" s="228"/>
      <c r="H18" s="228"/>
      <c r="I18" s="228"/>
      <c r="J18" s="228"/>
      <c r="K18" s="228"/>
      <c r="L18" s="228"/>
      <c r="M18" s="228"/>
      <c r="N18" s="228"/>
    </row>
    <row r="19" spans="1:329" s="222" customFormat="1" x14ac:dyDescent="0.2">
      <c r="B19" s="239"/>
      <c r="C19" s="239"/>
      <c r="D19" s="241"/>
      <c r="E19" s="237"/>
      <c r="F19" s="228"/>
      <c r="G19" s="228"/>
      <c r="H19" s="228"/>
      <c r="I19" s="228"/>
      <c r="J19" s="228"/>
      <c r="K19" s="228"/>
      <c r="L19" s="228"/>
      <c r="M19" s="228"/>
      <c r="N19" s="228"/>
    </row>
    <row r="20" spans="1:329" ht="15" x14ac:dyDescent="0.25">
      <c r="A20" s="352"/>
      <c r="B20" s="248"/>
      <c r="C20" s="248"/>
      <c r="D20" s="241"/>
    </row>
    <row r="21" spans="1:329" ht="15" x14ac:dyDescent="0.25">
      <c r="A21" s="315"/>
      <c r="B21" s="239"/>
      <c r="C21" s="239"/>
      <c r="D21" s="241"/>
      <c r="E21" s="237"/>
    </row>
    <row r="22" spans="1:329" ht="15" x14ac:dyDescent="0.25">
      <c r="A22"/>
    </row>
    <row r="23" spans="1:329" s="249" customFormat="1" ht="15" x14ac:dyDescent="0.25">
      <c r="A23" s="22"/>
      <c r="B23" s="228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O23" s="228"/>
      <c r="AP23" s="228"/>
      <c r="AQ23" s="228"/>
      <c r="AR23" s="228"/>
      <c r="AS23" s="228"/>
      <c r="AT23" s="228"/>
      <c r="AU23" s="228"/>
      <c r="AV23" s="228"/>
      <c r="AW23" s="228"/>
      <c r="AX23" s="228"/>
      <c r="AY23" s="228"/>
      <c r="AZ23" s="228"/>
      <c r="BA23" s="228"/>
      <c r="BB23" s="228"/>
      <c r="BC23" s="228"/>
      <c r="BD23" s="228"/>
      <c r="BE23" s="228"/>
      <c r="BF23" s="228"/>
      <c r="BG23" s="228"/>
      <c r="BH23" s="228"/>
      <c r="BI23" s="228"/>
      <c r="BJ23" s="228"/>
      <c r="BK23" s="228"/>
      <c r="BL23" s="228"/>
      <c r="BM23" s="228"/>
      <c r="BN23" s="228"/>
      <c r="BO23" s="228"/>
      <c r="BP23" s="228"/>
      <c r="BQ23" s="228"/>
      <c r="BR23" s="228"/>
      <c r="BS23" s="228"/>
      <c r="BT23" s="228"/>
      <c r="BU23" s="228"/>
      <c r="BV23" s="228"/>
      <c r="BW23" s="228"/>
      <c r="BX23" s="228"/>
      <c r="BY23" s="228"/>
      <c r="BZ23" s="228"/>
      <c r="CA23" s="228"/>
      <c r="CB23" s="228"/>
      <c r="CC23" s="228"/>
      <c r="CD23" s="228"/>
      <c r="CE23" s="228"/>
      <c r="CF23" s="228"/>
      <c r="CG23" s="228"/>
      <c r="CH23" s="228"/>
      <c r="CI23" s="228"/>
      <c r="CJ23" s="228"/>
      <c r="CK23" s="228"/>
      <c r="CL23" s="228"/>
      <c r="CM23" s="228"/>
      <c r="CN23" s="228"/>
      <c r="CO23" s="228"/>
      <c r="CP23" s="228"/>
      <c r="CQ23" s="228"/>
      <c r="CR23" s="228"/>
      <c r="CS23" s="228"/>
      <c r="CT23" s="228"/>
      <c r="CU23" s="228"/>
      <c r="CV23" s="228"/>
      <c r="CW23" s="228"/>
      <c r="CX23" s="228"/>
      <c r="CY23" s="228"/>
      <c r="CZ23" s="228"/>
      <c r="DA23" s="228"/>
      <c r="DB23" s="228"/>
      <c r="DC23" s="228"/>
      <c r="DD23" s="228"/>
      <c r="DE23" s="228"/>
      <c r="DF23" s="228"/>
      <c r="DG23" s="228"/>
      <c r="DH23" s="228"/>
      <c r="DI23" s="228"/>
      <c r="DJ23" s="228"/>
      <c r="DK23" s="228"/>
      <c r="DL23" s="228"/>
      <c r="DM23" s="228"/>
      <c r="DN23" s="228"/>
      <c r="DO23" s="228"/>
      <c r="DP23" s="228"/>
      <c r="DQ23" s="228"/>
      <c r="DR23" s="228"/>
      <c r="DS23" s="228"/>
      <c r="DT23" s="228"/>
      <c r="DU23" s="228"/>
      <c r="DV23" s="228"/>
      <c r="DW23" s="228"/>
      <c r="DX23" s="228"/>
      <c r="DY23" s="228"/>
      <c r="DZ23" s="228"/>
      <c r="EA23" s="228"/>
      <c r="EB23" s="228"/>
      <c r="EC23" s="228"/>
      <c r="ED23" s="228"/>
      <c r="EE23" s="228"/>
      <c r="EF23" s="228"/>
      <c r="EG23" s="228"/>
      <c r="EH23" s="228"/>
      <c r="EI23" s="228"/>
      <c r="EJ23" s="228"/>
      <c r="EK23" s="228"/>
      <c r="EL23" s="228"/>
      <c r="EM23" s="228"/>
      <c r="EN23" s="228"/>
      <c r="EO23" s="228"/>
      <c r="EP23" s="228"/>
      <c r="EQ23" s="228"/>
      <c r="ER23" s="228"/>
      <c r="ES23" s="228"/>
      <c r="ET23" s="228"/>
      <c r="EU23" s="228"/>
      <c r="EV23" s="228"/>
      <c r="EW23" s="228"/>
      <c r="EX23" s="228"/>
      <c r="EY23" s="228"/>
      <c r="EZ23" s="228"/>
      <c r="FA23" s="228"/>
      <c r="FB23" s="228"/>
      <c r="FC23" s="228"/>
      <c r="FD23" s="228"/>
      <c r="FE23" s="228"/>
      <c r="FF23" s="228"/>
      <c r="FG23" s="228"/>
      <c r="FH23" s="228"/>
      <c r="FI23" s="228"/>
      <c r="FJ23" s="228"/>
      <c r="FK23" s="228"/>
      <c r="FL23" s="228"/>
      <c r="FM23" s="228"/>
      <c r="FN23" s="228"/>
      <c r="FO23" s="228"/>
      <c r="FP23" s="228"/>
      <c r="FQ23" s="228"/>
      <c r="FR23" s="228"/>
      <c r="FS23" s="228"/>
      <c r="FT23" s="228"/>
      <c r="FU23" s="228"/>
      <c r="FV23" s="228"/>
      <c r="FW23" s="228"/>
      <c r="FX23" s="228"/>
      <c r="FY23" s="228"/>
      <c r="FZ23" s="228"/>
      <c r="GA23" s="228"/>
      <c r="GB23" s="228"/>
      <c r="GC23" s="228"/>
      <c r="GD23" s="228"/>
      <c r="GE23" s="228"/>
      <c r="GF23" s="228"/>
      <c r="GG23" s="228"/>
      <c r="GH23" s="228"/>
      <c r="GI23" s="228"/>
      <c r="GJ23" s="228"/>
      <c r="GK23" s="228"/>
      <c r="GL23" s="228"/>
      <c r="GM23" s="228"/>
      <c r="GN23" s="228"/>
      <c r="GO23" s="228"/>
      <c r="GP23" s="228"/>
      <c r="GQ23" s="228"/>
      <c r="GR23" s="228"/>
      <c r="GS23" s="228"/>
      <c r="GT23" s="228"/>
      <c r="GU23" s="228"/>
      <c r="GV23" s="228"/>
      <c r="GW23" s="228"/>
      <c r="GX23" s="228"/>
      <c r="GY23" s="228"/>
      <c r="GZ23" s="228"/>
      <c r="HA23" s="228"/>
      <c r="HB23" s="228"/>
      <c r="HC23" s="228"/>
      <c r="HD23" s="228"/>
      <c r="HE23" s="228"/>
      <c r="HF23" s="228"/>
      <c r="HG23" s="228"/>
      <c r="HH23" s="228"/>
      <c r="HI23" s="228"/>
      <c r="HJ23" s="228"/>
      <c r="HK23" s="228"/>
      <c r="HL23" s="228"/>
      <c r="HM23" s="228"/>
      <c r="HN23" s="228"/>
      <c r="HO23" s="228"/>
      <c r="HP23" s="228"/>
      <c r="HQ23" s="228"/>
      <c r="HR23" s="228"/>
      <c r="HS23" s="228"/>
      <c r="HT23" s="228"/>
      <c r="HU23" s="228"/>
      <c r="HV23" s="228"/>
      <c r="HW23" s="228"/>
      <c r="HX23" s="228"/>
      <c r="HY23" s="228"/>
      <c r="HZ23" s="228"/>
      <c r="IA23" s="228"/>
      <c r="IB23" s="228"/>
      <c r="IC23" s="228"/>
      <c r="ID23" s="228"/>
      <c r="IE23" s="228"/>
      <c r="IF23" s="228"/>
      <c r="IG23" s="228"/>
      <c r="IH23" s="228"/>
      <c r="II23" s="228"/>
      <c r="IJ23" s="228"/>
      <c r="IK23" s="228"/>
      <c r="IL23" s="228"/>
      <c r="IM23" s="228"/>
      <c r="IN23" s="228"/>
      <c r="IO23" s="228"/>
      <c r="IP23" s="228"/>
      <c r="IQ23" s="228"/>
      <c r="IR23" s="228"/>
      <c r="IS23" s="228"/>
      <c r="IT23" s="228"/>
      <c r="IU23" s="228"/>
      <c r="IV23" s="228"/>
      <c r="IW23" s="228"/>
      <c r="IX23" s="228"/>
      <c r="IY23" s="228"/>
      <c r="IZ23" s="228"/>
      <c r="JA23" s="228"/>
      <c r="JB23" s="228"/>
      <c r="JC23" s="228"/>
      <c r="JD23" s="228"/>
      <c r="JE23" s="228"/>
      <c r="JF23" s="228"/>
      <c r="JG23" s="228"/>
      <c r="JH23" s="228"/>
      <c r="JI23" s="228"/>
      <c r="JJ23" s="228"/>
      <c r="JK23" s="228"/>
      <c r="JL23" s="228"/>
      <c r="JM23" s="228"/>
      <c r="JN23" s="228"/>
      <c r="JO23" s="228"/>
      <c r="JP23" s="228"/>
      <c r="JQ23" s="228"/>
      <c r="JR23" s="228"/>
      <c r="JS23" s="228"/>
      <c r="JT23" s="228"/>
      <c r="JU23" s="228"/>
      <c r="JV23" s="228"/>
      <c r="JW23" s="228"/>
      <c r="JX23" s="228"/>
      <c r="JY23" s="228"/>
      <c r="JZ23" s="228"/>
      <c r="KA23" s="228"/>
      <c r="KB23" s="228"/>
      <c r="KC23" s="228"/>
      <c r="KD23" s="228"/>
      <c r="KE23" s="228"/>
      <c r="KF23" s="228"/>
      <c r="KG23" s="228"/>
      <c r="KH23" s="228"/>
      <c r="KI23" s="228"/>
      <c r="KJ23" s="228"/>
      <c r="KK23" s="228"/>
      <c r="KL23" s="228"/>
      <c r="KM23" s="228"/>
      <c r="KN23" s="228"/>
      <c r="KO23" s="228"/>
      <c r="KP23" s="228"/>
      <c r="KQ23" s="228"/>
      <c r="KR23" s="228"/>
      <c r="KS23" s="228"/>
      <c r="KT23" s="228"/>
      <c r="KU23" s="228"/>
      <c r="KV23" s="228"/>
      <c r="KW23" s="228"/>
      <c r="KX23" s="228"/>
      <c r="KY23" s="228"/>
      <c r="KZ23" s="228"/>
      <c r="LA23" s="228"/>
      <c r="LB23" s="228"/>
      <c r="LC23" s="228"/>
      <c r="LD23" s="228"/>
      <c r="LE23" s="228"/>
      <c r="LF23" s="228"/>
      <c r="LG23" s="228"/>
      <c r="LH23" s="228"/>
      <c r="LI23" s="228"/>
      <c r="LJ23" s="228"/>
      <c r="LK23" s="228"/>
      <c r="LL23" s="228"/>
      <c r="LM23" s="228"/>
      <c r="LN23" s="228"/>
      <c r="LO23" s="228"/>
      <c r="LP23" s="228"/>
      <c r="LQ23" s="228"/>
    </row>
    <row r="24" spans="1:329" ht="15" x14ac:dyDescent="0.25">
      <c r="A24" s="328"/>
    </row>
    <row r="25" spans="1:329" ht="15" x14ac:dyDescent="0.25">
      <c r="A25" s="369"/>
    </row>
    <row r="26" spans="1:329" ht="15" x14ac:dyDescent="0.25">
      <c r="A26" s="328"/>
    </row>
    <row r="27" spans="1:329" ht="15" x14ac:dyDescent="0.25">
      <c r="A27"/>
    </row>
    <row r="28" spans="1:329" ht="15" x14ac:dyDescent="0.25">
      <c r="A28"/>
    </row>
    <row r="29" spans="1:329" ht="15" x14ac:dyDescent="0.25">
      <c r="A29" s="315"/>
      <c r="B29" s="239"/>
      <c r="C29" s="239"/>
      <c r="D29" s="241"/>
      <c r="E29" s="237"/>
    </row>
    <row r="30" spans="1:329" ht="15" x14ac:dyDescent="0.25">
      <c r="A30"/>
      <c r="B30" s="239"/>
      <c r="C30" s="239"/>
      <c r="D30" s="241"/>
      <c r="E30" s="237"/>
    </row>
    <row r="31" spans="1:329" ht="15" x14ac:dyDescent="0.25">
      <c r="A31" s="22"/>
    </row>
    <row r="32" spans="1:329" ht="15" x14ac:dyDescent="0.25">
      <c r="A32"/>
    </row>
    <row r="33" spans="1:329" ht="15" x14ac:dyDescent="0.25">
      <c r="A33" s="369"/>
    </row>
    <row r="34" spans="1:329" ht="15" x14ac:dyDescent="0.25">
      <c r="A34"/>
    </row>
    <row r="35" spans="1:329" ht="15" x14ac:dyDescent="0.25">
      <c r="A35"/>
    </row>
    <row r="38" spans="1:329" x14ac:dyDescent="0.2">
      <c r="A38" s="228" t="s">
        <v>227</v>
      </c>
      <c r="B38" s="239"/>
      <c r="C38" s="239"/>
      <c r="D38" s="241"/>
      <c r="E38" s="237"/>
    </row>
    <row r="39" spans="1:329" x14ac:dyDescent="0.2">
      <c r="B39" s="239"/>
      <c r="C39" s="239"/>
      <c r="D39" s="241"/>
      <c r="E39" s="237"/>
    </row>
    <row r="40" spans="1:329" x14ac:dyDescent="0.2">
      <c r="B40" s="239"/>
      <c r="C40" s="239"/>
      <c r="D40" s="241"/>
      <c r="E40" s="237"/>
    </row>
    <row r="41" spans="1:329" s="250" customFormat="1" x14ac:dyDescent="0.2">
      <c r="A41" s="228"/>
      <c r="B41" s="239"/>
      <c r="C41" s="239"/>
      <c r="D41" s="240"/>
      <c r="E41" s="237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  <c r="AA41" s="228"/>
      <c r="AB41" s="228"/>
      <c r="AC41" s="228"/>
      <c r="AD41" s="228"/>
      <c r="AE41" s="228"/>
      <c r="AF41" s="228"/>
      <c r="AG41" s="228"/>
      <c r="AH41" s="228"/>
      <c r="AI41" s="228"/>
      <c r="AJ41" s="228"/>
      <c r="AK41" s="228"/>
      <c r="AL41" s="228"/>
      <c r="AM41" s="228"/>
      <c r="AN41" s="228"/>
      <c r="AO41" s="228"/>
      <c r="AP41" s="228"/>
      <c r="AQ41" s="228"/>
      <c r="AR41" s="228"/>
      <c r="AS41" s="228"/>
      <c r="AT41" s="228"/>
      <c r="AU41" s="228"/>
      <c r="AV41" s="228"/>
      <c r="AW41" s="228"/>
      <c r="AX41" s="228"/>
      <c r="AY41" s="228"/>
      <c r="AZ41" s="228"/>
      <c r="BA41" s="228"/>
      <c r="BB41" s="228"/>
      <c r="BC41" s="228"/>
      <c r="BD41" s="228"/>
      <c r="BE41" s="228"/>
      <c r="BF41" s="228"/>
      <c r="BG41" s="228"/>
      <c r="BH41" s="228"/>
      <c r="BI41" s="228"/>
      <c r="BJ41" s="228"/>
      <c r="BK41" s="228"/>
      <c r="BL41" s="228"/>
      <c r="BM41" s="228"/>
      <c r="BN41" s="228"/>
      <c r="BO41" s="228"/>
      <c r="BP41" s="228"/>
      <c r="BQ41" s="228"/>
      <c r="BR41" s="228"/>
      <c r="BS41" s="228"/>
      <c r="BT41" s="228"/>
      <c r="BU41" s="228"/>
      <c r="BV41" s="228"/>
      <c r="BW41" s="228"/>
      <c r="BX41" s="228"/>
      <c r="BY41" s="228"/>
      <c r="BZ41" s="228"/>
      <c r="CA41" s="228"/>
      <c r="CB41" s="228"/>
      <c r="CC41" s="228"/>
      <c r="CD41" s="228"/>
      <c r="CE41" s="228"/>
      <c r="CF41" s="228"/>
      <c r="CG41" s="228"/>
      <c r="CH41" s="228"/>
      <c r="CI41" s="228"/>
      <c r="CJ41" s="228"/>
      <c r="CK41" s="228"/>
      <c r="CL41" s="228"/>
      <c r="CM41" s="228"/>
      <c r="CN41" s="228"/>
      <c r="CO41" s="228"/>
      <c r="CP41" s="228"/>
      <c r="CQ41" s="228"/>
      <c r="CR41" s="228"/>
      <c r="CS41" s="228"/>
      <c r="CT41" s="228"/>
      <c r="CU41" s="228"/>
      <c r="CV41" s="228"/>
      <c r="CW41" s="228"/>
      <c r="CX41" s="228"/>
      <c r="CY41" s="228"/>
      <c r="CZ41" s="228"/>
      <c r="DA41" s="228"/>
      <c r="DB41" s="228"/>
      <c r="DC41" s="228"/>
      <c r="DD41" s="228"/>
      <c r="DE41" s="228"/>
      <c r="DF41" s="228"/>
      <c r="DG41" s="228"/>
      <c r="DH41" s="228"/>
      <c r="DI41" s="228"/>
      <c r="DJ41" s="228"/>
      <c r="DK41" s="228"/>
      <c r="DL41" s="228"/>
      <c r="DM41" s="228"/>
      <c r="DN41" s="228"/>
      <c r="DO41" s="228"/>
      <c r="DP41" s="228"/>
      <c r="DQ41" s="228"/>
      <c r="DR41" s="228"/>
      <c r="DS41" s="228"/>
      <c r="DT41" s="228"/>
      <c r="DU41" s="228"/>
      <c r="DV41" s="228"/>
      <c r="DW41" s="228"/>
      <c r="DX41" s="228"/>
      <c r="DY41" s="228"/>
      <c r="DZ41" s="228"/>
      <c r="EA41" s="228"/>
      <c r="EB41" s="228"/>
      <c r="EC41" s="228"/>
      <c r="ED41" s="228"/>
      <c r="EE41" s="228"/>
      <c r="EF41" s="228"/>
      <c r="EG41" s="228"/>
      <c r="EH41" s="228"/>
      <c r="EI41" s="228"/>
      <c r="EJ41" s="228"/>
      <c r="EK41" s="228"/>
      <c r="EL41" s="228"/>
      <c r="EM41" s="228"/>
      <c r="EN41" s="228"/>
      <c r="EO41" s="228"/>
      <c r="EP41" s="228"/>
      <c r="EQ41" s="228"/>
      <c r="ER41" s="228"/>
      <c r="ES41" s="228"/>
      <c r="ET41" s="228"/>
      <c r="EU41" s="228"/>
      <c r="EV41" s="228"/>
      <c r="EW41" s="228"/>
      <c r="EX41" s="228"/>
      <c r="EY41" s="228"/>
      <c r="EZ41" s="228"/>
      <c r="FA41" s="228"/>
      <c r="FB41" s="228"/>
      <c r="FC41" s="228"/>
      <c r="FD41" s="228"/>
      <c r="FE41" s="228"/>
      <c r="FF41" s="228"/>
      <c r="FG41" s="228"/>
      <c r="FH41" s="228"/>
      <c r="FI41" s="228"/>
      <c r="FJ41" s="228"/>
      <c r="FK41" s="228"/>
      <c r="FL41" s="228"/>
      <c r="FM41" s="228"/>
      <c r="FN41" s="228"/>
      <c r="FO41" s="228"/>
      <c r="FP41" s="228"/>
      <c r="FQ41" s="228"/>
      <c r="FR41" s="228"/>
      <c r="FS41" s="228"/>
      <c r="FT41" s="228"/>
      <c r="FU41" s="228"/>
      <c r="FV41" s="228"/>
      <c r="FW41" s="228"/>
      <c r="FX41" s="228"/>
      <c r="FY41" s="228"/>
      <c r="FZ41" s="228"/>
      <c r="GA41" s="228"/>
      <c r="GB41" s="228"/>
      <c r="GC41" s="228"/>
      <c r="GD41" s="228"/>
      <c r="GE41" s="228"/>
      <c r="GF41" s="228"/>
      <c r="GG41" s="228"/>
      <c r="GH41" s="228"/>
      <c r="GI41" s="228"/>
      <c r="GJ41" s="228"/>
      <c r="GK41" s="228"/>
      <c r="GL41" s="228"/>
      <c r="GM41" s="228"/>
      <c r="GN41" s="228"/>
      <c r="GO41" s="228"/>
      <c r="GP41" s="228"/>
      <c r="GQ41" s="228"/>
      <c r="GR41" s="228"/>
      <c r="GS41" s="228"/>
      <c r="GT41" s="228"/>
      <c r="GU41" s="228"/>
      <c r="GV41" s="228"/>
      <c r="GW41" s="228"/>
      <c r="GX41" s="228"/>
      <c r="GY41" s="228"/>
      <c r="GZ41" s="228"/>
      <c r="HA41" s="228"/>
      <c r="HB41" s="228"/>
      <c r="HC41" s="228"/>
      <c r="HD41" s="228"/>
      <c r="HE41" s="228"/>
      <c r="HF41" s="228"/>
      <c r="HG41" s="228"/>
      <c r="HH41" s="228"/>
      <c r="HI41" s="228"/>
      <c r="HJ41" s="228"/>
      <c r="HK41" s="228"/>
      <c r="HL41" s="228"/>
      <c r="HM41" s="228"/>
      <c r="HN41" s="228"/>
      <c r="HO41" s="228"/>
      <c r="HP41" s="228"/>
      <c r="HQ41" s="228"/>
      <c r="HR41" s="228"/>
      <c r="HS41" s="228"/>
      <c r="HT41" s="228"/>
      <c r="HU41" s="228"/>
      <c r="HV41" s="228"/>
      <c r="HW41" s="228"/>
      <c r="HX41" s="228"/>
      <c r="HY41" s="228"/>
      <c r="HZ41" s="228"/>
      <c r="IA41" s="228"/>
      <c r="IB41" s="228"/>
      <c r="IC41" s="228"/>
      <c r="ID41" s="228"/>
      <c r="IE41" s="228"/>
      <c r="IF41" s="228"/>
      <c r="IG41" s="228"/>
      <c r="IH41" s="228"/>
      <c r="II41" s="228"/>
      <c r="IJ41" s="228"/>
      <c r="IK41" s="228"/>
      <c r="IL41" s="228"/>
      <c r="IM41" s="228"/>
      <c r="IN41" s="228"/>
      <c r="IO41" s="228"/>
      <c r="IP41" s="228"/>
      <c r="IQ41" s="228"/>
      <c r="IR41" s="228"/>
      <c r="IS41" s="228"/>
      <c r="IT41" s="228"/>
      <c r="IU41" s="228"/>
      <c r="IV41" s="228"/>
      <c r="IW41" s="228"/>
      <c r="IX41" s="228"/>
      <c r="IY41" s="228"/>
      <c r="IZ41" s="228"/>
      <c r="JA41" s="228"/>
      <c r="JB41" s="228"/>
      <c r="JC41" s="228"/>
      <c r="JD41" s="228"/>
      <c r="JE41" s="228"/>
      <c r="JF41" s="228"/>
      <c r="JG41" s="228"/>
      <c r="JH41" s="228"/>
      <c r="JI41" s="228"/>
      <c r="JJ41" s="228"/>
      <c r="JK41" s="228"/>
      <c r="JL41" s="228"/>
      <c r="JM41" s="228"/>
      <c r="JN41" s="228"/>
      <c r="JO41" s="228"/>
      <c r="JP41" s="228"/>
      <c r="JQ41" s="228"/>
      <c r="JR41" s="228"/>
      <c r="JS41" s="228"/>
      <c r="JT41" s="228"/>
      <c r="JU41" s="228"/>
      <c r="JV41" s="228"/>
      <c r="JW41" s="228"/>
      <c r="JX41" s="228"/>
      <c r="JY41" s="228"/>
      <c r="JZ41" s="228"/>
      <c r="KA41" s="228"/>
      <c r="KB41" s="228"/>
      <c r="KC41" s="228"/>
      <c r="KD41" s="228"/>
      <c r="KE41" s="228"/>
      <c r="KF41" s="228"/>
      <c r="KG41" s="228"/>
      <c r="KH41" s="228"/>
      <c r="KI41" s="228"/>
      <c r="KJ41" s="228"/>
      <c r="KK41" s="228"/>
      <c r="KL41" s="228"/>
      <c r="KM41" s="228"/>
      <c r="KN41" s="228"/>
      <c r="KO41" s="228"/>
      <c r="KP41" s="228"/>
      <c r="KQ41" s="228"/>
      <c r="KR41" s="228"/>
      <c r="KS41" s="228"/>
      <c r="KT41" s="228"/>
      <c r="KU41" s="228"/>
      <c r="KV41" s="228"/>
      <c r="KW41" s="228"/>
      <c r="KX41" s="228"/>
      <c r="KY41" s="228"/>
      <c r="KZ41" s="228"/>
      <c r="LA41" s="228"/>
      <c r="LB41" s="228"/>
      <c r="LC41" s="228"/>
      <c r="LD41" s="228"/>
      <c r="LE41" s="228"/>
      <c r="LF41" s="228"/>
      <c r="LG41" s="228"/>
      <c r="LH41" s="228"/>
      <c r="LI41" s="228"/>
      <c r="LJ41" s="228"/>
      <c r="LK41" s="228"/>
      <c r="LL41" s="228"/>
      <c r="LM41" s="228"/>
      <c r="LN41" s="228"/>
      <c r="LO41" s="228"/>
      <c r="LP41" s="228"/>
      <c r="LQ41" s="228"/>
    </row>
    <row r="42" spans="1:329" x14ac:dyDescent="0.2">
      <c r="B42" s="239"/>
      <c r="C42" s="239"/>
      <c r="D42" s="240"/>
      <c r="E42" s="237"/>
    </row>
    <row r="43" spans="1:329" x14ac:dyDescent="0.2">
      <c r="B43" s="239"/>
      <c r="C43" s="239"/>
      <c r="D43" s="240"/>
      <c r="E43" s="237"/>
    </row>
    <row r="44" spans="1:329" x14ac:dyDescent="0.2">
      <c r="B44" s="248"/>
      <c r="C44" s="248"/>
      <c r="D44" s="240"/>
    </row>
    <row r="45" spans="1:329" x14ac:dyDescent="0.2">
      <c r="B45" s="239"/>
      <c r="C45" s="239"/>
      <c r="D45" s="240"/>
      <c r="E45" s="237"/>
    </row>
    <row r="48" spans="1:329" x14ac:dyDescent="0.2">
      <c r="B48" s="239"/>
      <c r="C48" s="239"/>
      <c r="D48" s="240"/>
      <c r="E48" s="237"/>
    </row>
    <row r="49" spans="2:14" x14ac:dyDescent="0.2">
      <c r="B49" s="239"/>
      <c r="C49" s="239"/>
      <c r="D49" s="240"/>
      <c r="E49" s="237"/>
    </row>
    <row r="50" spans="2:14" x14ac:dyDescent="0.2">
      <c r="B50" s="239"/>
      <c r="C50" s="239"/>
      <c r="D50" s="240"/>
      <c r="E50" s="237"/>
    </row>
    <row r="51" spans="2:14" x14ac:dyDescent="0.2">
      <c r="B51" s="242"/>
      <c r="C51" s="242"/>
      <c r="D51" s="243"/>
      <c r="E51" s="237"/>
    </row>
    <row r="52" spans="2:14" x14ac:dyDescent="0.2">
      <c r="B52" s="228"/>
      <c r="C52" s="228"/>
      <c r="D52" s="243"/>
    </row>
    <row r="53" spans="2:14" x14ac:dyDescent="0.2">
      <c r="B53" s="228"/>
      <c r="C53" s="228"/>
      <c r="E53" s="243"/>
    </row>
    <row r="54" spans="2:14" x14ac:dyDescent="0.2">
      <c r="E54" s="243"/>
    </row>
    <row r="55" spans="2:14" x14ac:dyDescent="0.2">
      <c r="E55" s="243"/>
    </row>
    <row r="56" spans="2:14" s="222" customFormat="1" x14ac:dyDescent="0.2">
      <c r="D56" s="228"/>
      <c r="E56" s="243"/>
      <c r="F56" s="228"/>
      <c r="G56" s="228"/>
      <c r="H56" s="228"/>
      <c r="I56" s="228"/>
      <c r="J56" s="228"/>
      <c r="K56" s="228"/>
      <c r="L56" s="228"/>
      <c r="M56" s="228"/>
      <c r="N56" s="228"/>
    </row>
    <row r="57" spans="2:14" s="222" customFormat="1" x14ac:dyDescent="0.2">
      <c r="D57" s="228"/>
      <c r="E57" s="243"/>
      <c r="F57" s="228"/>
      <c r="G57" s="228"/>
      <c r="H57" s="228"/>
      <c r="I57" s="228"/>
      <c r="J57" s="228"/>
      <c r="K57" s="228"/>
      <c r="L57" s="228"/>
      <c r="M57" s="228"/>
      <c r="N57" s="228"/>
    </row>
    <row r="58" spans="2:14" s="222" customFormat="1" x14ac:dyDescent="0.2">
      <c r="D58" s="228"/>
      <c r="E58" s="243"/>
      <c r="F58" s="228"/>
      <c r="G58" s="228"/>
      <c r="H58" s="228"/>
      <c r="I58" s="228"/>
      <c r="J58" s="228"/>
      <c r="K58" s="228"/>
      <c r="L58" s="228"/>
      <c r="M58" s="228"/>
      <c r="N58" s="228"/>
    </row>
    <row r="59" spans="2:14" s="222" customFormat="1" x14ac:dyDescent="0.2">
      <c r="B59" s="228"/>
      <c r="C59" s="228"/>
      <c r="D59" s="228"/>
      <c r="E59" s="243"/>
      <c r="F59" s="228"/>
      <c r="G59" s="228"/>
      <c r="H59" s="228"/>
      <c r="I59" s="228"/>
      <c r="J59" s="228"/>
      <c r="K59" s="228"/>
      <c r="L59" s="228"/>
      <c r="M59" s="228"/>
      <c r="N59" s="228"/>
    </row>
    <row r="60" spans="2:14" s="222" customFormat="1" x14ac:dyDescent="0.2">
      <c r="E60" s="246"/>
      <c r="F60" s="228"/>
      <c r="G60" s="228"/>
      <c r="H60" s="228"/>
      <c r="I60" s="228"/>
      <c r="J60" s="228"/>
      <c r="K60" s="228"/>
      <c r="L60" s="228"/>
      <c r="M60" s="228"/>
      <c r="N60" s="228"/>
    </row>
    <row r="61" spans="2:14" s="222" customFormat="1" x14ac:dyDescent="0.2">
      <c r="B61" s="228"/>
      <c r="C61" s="228"/>
      <c r="D61" s="228"/>
      <c r="E61" s="228"/>
      <c r="F61" s="228"/>
      <c r="G61" s="228"/>
      <c r="H61" s="228"/>
      <c r="I61" s="228"/>
      <c r="J61" s="228"/>
      <c r="K61" s="228"/>
      <c r="L61" s="228"/>
      <c r="M61" s="228"/>
      <c r="N61" s="228"/>
    </row>
    <row r="62" spans="2:14" s="222" customFormat="1" x14ac:dyDescent="0.2">
      <c r="B62" s="228"/>
      <c r="C62" s="228"/>
      <c r="D62" s="228"/>
      <c r="E62" s="228"/>
      <c r="F62" s="228"/>
      <c r="G62" s="228"/>
      <c r="H62" s="228"/>
      <c r="I62" s="228"/>
      <c r="J62" s="228"/>
      <c r="K62" s="228"/>
      <c r="L62" s="228"/>
      <c r="M62" s="228"/>
      <c r="N62" s="228"/>
    </row>
    <row r="63" spans="2:14" s="222" customFormat="1" x14ac:dyDescent="0.2">
      <c r="B63" s="228"/>
      <c r="C63" s="228"/>
      <c r="D63" s="228"/>
      <c r="E63" s="228"/>
      <c r="F63" s="228"/>
      <c r="G63" s="228"/>
      <c r="H63" s="228"/>
      <c r="I63" s="228"/>
      <c r="J63" s="228"/>
      <c r="K63" s="228"/>
      <c r="L63" s="228"/>
      <c r="M63" s="228"/>
      <c r="N63" s="228"/>
    </row>
    <row r="64" spans="2:14" s="222" customFormat="1" x14ac:dyDescent="0.2">
      <c r="B64" s="228"/>
      <c r="C64" s="228"/>
      <c r="D64" s="228"/>
      <c r="E64" s="228"/>
      <c r="F64" s="228"/>
      <c r="G64" s="228"/>
      <c r="H64" s="228"/>
      <c r="I64" s="228"/>
      <c r="J64" s="228"/>
      <c r="K64" s="228"/>
      <c r="L64" s="228"/>
      <c r="M64" s="228"/>
      <c r="N64" s="228"/>
    </row>
    <row r="65" spans="2:14" s="222" customFormat="1" x14ac:dyDescent="0.2">
      <c r="B65" s="228"/>
      <c r="C65" s="228"/>
      <c r="D65" s="228"/>
      <c r="E65" s="228"/>
      <c r="F65" s="228"/>
      <c r="G65" s="228"/>
      <c r="H65" s="228"/>
      <c r="I65" s="228"/>
      <c r="J65" s="228"/>
      <c r="K65" s="228"/>
      <c r="L65" s="228"/>
      <c r="M65" s="228"/>
      <c r="N65" s="228"/>
    </row>
    <row r="66" spans="2:14" s="222" customFormat="1" x14ac:dyDescent="0.2">
      <c r="B66" s="228"/>
      <c r="C66" s="228"/>
      <c r="D66" s="228"/>
      <c r="E66" s="228"/>
      <c r="F66" s="228"/>
      <c r="G66" s="228"/>
      <c r="H66" s="228"/>
      <c r="I66" s="228"/>
      <c r="J66" s="228"/>
      <c r="K66" s="228"/>
      <c r="L66" s="228"/>
      <c r="M66" s="228"/>
      <c r="N66" s="228"/>
    </row>
    <row r="67" spans="2:14" s="222" customFormat="1" x14ac:dyDescent="0.2">
      <c r="B67" s="228"/>
      <c r="C67" s="228"/>
      <c r="D67" s="228"/>
      <c r="E67" s="228"/>
      <c r="F67" s="228"/>
      <c r="G67" s="228"/>
      <c r="H67" s="228"/>
      <c r="I67" s="228"/>
      <c r="J67" s="228"/>
      <c r="K67" s="228"/>
      <c r="L67" s="228"/>
      <c r="M67" s="228"/>
      <c r="N67" s="228"/>
    </row>
    <row r="68" spans="2:14" s="222" customFormat="1" x14ac:dyDescent="0.2">
      <c r="B68" s="228"/>
      <c r="C68" s="228"/>
      <c r="D68" s="228"/>
      <c r="E68" s="228"/>
      <c r="F68" s="228"/>
      <c r="G68" s="228"/>
      <c r="H68" s="228"/>
      <c r="I68" s="228"/>
      <c r="J68" s="228"/>
      <c r="K68" s="228"/>
      <c r="L68" s="228"/>
      <c r="M68" s="228"/>
      <c r="N68" s="228"/>
    </row>
    <row r="69" spans="2:14" s="222" customFormat="1" x14ac:dyDescent="0.2">
      <c r="B69" s="228"/>
      <c r="C69" s="228"/>
      <c r="D69" s="228"/>
      <c r="E69" s="228"/>
      <c r="F69" s="228"/>
      <c r="G69" s="228"/>
      <c r="H69" s="228"/>
      <c r="I69" s="228"/>
      <c r="J69" s="228"/>
      <c r="K69" s="228"/>
      <c r="L69" s="228"/>
      <c r="M69" s="228"/>
      <c r="N69" s="228"/>
    </row>
    <row r="70" spans="2:14" s="222" customFormat="1" x14ac:dyDescent="0.2">
      <c r="B70" s="228"/>
      <c r="C70" s="228"/>
      <c r="D70" s="228"/>
      <c r="E70" s="228"/>
      <c r="F70" s="228"/>
      <c r="G70" s="228"/>
      <c r="H70" s="228"/>
      <c r="I70" s="228"/>
      <c r="J70" s="228"/>
      <c r="K70" s="228"/>
      <c r="L70" s="228"/>
      <c r="M70" s="228"/>
      <c r="N70" s="228"/>
    </row>
    <row r="71" spans="2:14" s="222" customFormat="1" x14ac:dyDescent="0.2">
      <c r="B71" s="228"/>
      <c r="C71" s="228"/>
      <c r="D71" s="228"/>
      <c r="E71" s="228"/>
      <c r="F71" s="228"/>
      <c r="G71" s="228"/>
      <c r="H71" s="228"/>
      <c r="I71" s="228"/>
      <c r="J71" s="228"/>
      <c r="K71" s="228"/>
      <c r="L71" s="228"/>
      <c r="M71" s="228"/>
      <c r="N71" s="228"/>
    </row>
    <row r="72" spans="2:14" s="222" customFormat="1" x14ac:dyDescent="0.2">
      <c r="B72" s="251"/>
      <c r="C72" s="251"/>
      <c r="D72" s="243"/>
      <c r="E72" s="243"/>
      <c r="F72" s="228"/>
      <c r="G72" s="228"/>
      <c r="H72" s="228"/>
      <c r="I72" s="228"/>
      <c r="J72" s="228"/>
      <c r="K72" s="228"/>
      <c r="L72" s="228"/>
      <c r="M72" s="228"/>
      <c r="N72" s="228"/>
    </row>
    <row r="73" spans="2:14" s="222" customFormat="1" x14ac:dyDescent="0.2">
      <c r="B73" s="251"/>
      <c r="C73" s="251"/>
      <c r="D73" s="243"/>
      <c r="E73" s="243"/>
      <c r="F73" s="228"/>
      <c r="G73" s="228"/>
      <c r="H73" s="228"/>
      <c r="I73" s="228"/>
      <c r="J73" s="228"/>
      <c r="K73" s="228"/>
      <c r="L73" s="228"/>
      <c r="M73" s="228"/>
      <c r="N73" s="228"/>
    </row>
    <row r="74" spans="2:14" s="222" customFormat="1" x14ac:dyDescent="0.2">
      <c r="B74" s="251"/>
      <c r="C74" s="251"/>
      <c r="D74" s="243"/>
      <c r="E74" s="243"/>
      <c r="F74" s="228"/>
      <c r="G74" s="228"/>
      <c r="H74" s="228"/>
      <c r="I74" s="228"/>
      <c r="J74" s="228"/>
      <c r="K74" s="228"/>
      <c r="L74" s="228"/>
      <c r="M74" s="228"/>
      <c r="N74" s="228"/>
    </row>
    <row r="75" spans="2:14" s="222" customFormat="1" x14ac:dyDescent="0.2">
      <c r="B75" s="251"/>
      <c r="C75" s="251"/>
      <c r="D75" s="243"/>
      <c r="E75" s="243"/>
      <c r="F75" s="228"/>
      <c r="G75" s="228"/>
      <c r="H75" s="228"/>
      <c r="I75" s="228"/>
      <c r="J75" s="228"/>
      <c r="K75" s="228"/>
      <c r="L75" s="228"/>
      <c r="M75" s="228"/>
      <c r="N75" s="228"/>
    </row>
    <row r="76" spans="2:14" s="222" customFormat="1" x14ac:dyDescent="0.2">
      <c r="B76" s="251"/>
      <c r="C76" s="251"/>
      <c r="D76" s="243"/>
      <c r="E76" s="243"/>
      <c r="F76" s="228"/>
      <c r="G76" s="228"/>
      <c r="H76" s="228"/>
      <c r="I76" s="228"/>
      <c r="J76" s="228"/>
      <c r="K76" s="228"/>
      <c r="L76" s="228"/>
      <c r="M76" s="228"/>
      <c r="N76" s="228"/>
    </row>
    <row r="77" spans="2:14" s="222" customFormat="1" x14ac:dyDescent="0.2">
      <c r="B77" s="251"/>
      <c r="C77" s="251"/>
      <c r="D77" s="243"/>
      <c r="E77" s="243"/>
      <c r="F77" s="228"/>
      <c r="G77" s="228"/>
      <c r="H77" s="228"/>
      <c r="I77" s="228"/>
      <c r="J77" s="228"/>
      <c r="K77" s="228"/>
      <c r="L77" s="228"/>
      <c r="M77" s="228"/>
      <c r="N77" s="228"/>
    </row>
    <row r="78" spans="2:14" s="222" customFormat="1" x14ac:dyDescent="0.2">
      <c r="B78" s="251"/>
      <c r="C78" s="251"/>
      <c r="D78" s="243"/>
      <c r="E78" s="243"/>
      <c r="F78" s="228"/>
      <c r="G78" s="228"/>
      <c r="H78" s="228"/>
      <c r="I78" s="228"/>
      <c r="J78" s="228"/>
      <c r="K78" s="228"/>
      <c r="L78" s="228"/>
      <c r="M78" s="228"/>
      <c r="N78" s="228"/>
    </row>
    <row r="79" spans="2:14" s="222" customFormat="1" x14ac:dyDescent="0.2">
      <c r="B79" s="252"/>
      <c r="C79" s="252"/>
      <c r="D79" s="253"/>
      <c r="E79" s="254"/>
      <c r="F79" s="228"/>
      <c r="G79" s="228"/>
      <c r="H79" s="228"/>
      <c r="I79" s="228"/>
      <c r="J79" s="228"/>
      <c r="K79" s="228"/>
      <c r="L79" s="228"/>
      <c r="M79" s="228"/>
      <c r="N79" s="228"/>
    </row>
    <row r="80" spans="2:14" s="222" customFormat="1" x14ac:dyDescent="0.2">
      <c r="B80" s="252"/>
      <c r="C80" s="252"/>
      <c r="D80" s="253"/>
      <c r="E80" s="254"/>
      <c r="F80" s="228"/>
      <c r="G80" s="228"/>
      <c r="H80" s="228"/>
      <c r="I80" s="228"/>
      <c r="J80" s="228"/>
      <c r="K80" s="228"/>
      <c r="L80" s="228"/>
      <c r="M80" s="228"/>
      <c r="N80" s="228"/>
    </row>
    <row r="81" spans="2:14" s="222" customFormat="1" x14ac:dyDescent="0.2">
      <c r="B81" s="252"/>
      <c r="C81" s="252"/>
      <c r="D81" s="253"/>
      <c r="E81" s="254"/>
      <c r="F81" s="228"/>
      <c r="G81" s="228"/>
      <c r="H81" s="228"/>
      <c r="I81" s="228"/>
      <c r="J81" s="228"/>
      <c r="K81" s="228"/>
      <c r="L81" s="228"/>
      <c r="M81" s="228"/>
      <c r="N81" s="228"/>
    </row>
    <row r="82" spans="2:14" s="222" customFormat="1" x14ac:dyDescent="0.2">
      <c r="B82" s="252"/>
      <c r="C82" s="252"/>
      <c r="D82" s="253"/>
      <c r="E82" s="254"/>
      <c r="F82" s="228"/>
      <c r="G82" s="228"/>
      <c r="H82" s="228"/>
      <c r="I82" s="228"/>
      <c r="J82" s="228"/>
      <c r="K82" s="228"/>
      <c r="L82" s="228"/>
      <c r="M82" s="228"/>
      <c r="N82" s="228"/>
    </row>
    <row r="83" spans="2:14" s="222" customFormat="1" x14ac:dyDescent="0.2">
      <c r="B83" s="228"/>
      <c r="C83" s="228"/>
      <c r="D83" s="243"/>
      <c r="E83" s="243"/>
      <c r="F83" s="228"/>
      <c r="G83" s="228"/>
      <c r="H83" s="228"/>
      <c r="I83" s="228"/>
      <c r="J83" s="228"/>
      <c r="K83" s="228"/>
      <c r="L83" s="228"/>
      <c r="M83" s="228"/>
      <c r="N83" s="228"/>
    </row>
    <row r="84" spans="2:14" s="222" customFormat="1" x14ac:dyDescent="0.2">
      <c r="B84" s="228"/>
      <c r="C84" s="228"/>
      <c r="D84" s="238"/>
      <c r="E84" s="243"/>
      <c r="F84" s="228"/>
      <c r="G84" s="228"/>
      <c r="H84" s="228"/>
      <c r="I84" s="228"/>
      <c r="J84" s="228"/>
      <c r="K84" s="228"/>
      <c r="L84" s="228"/>
      <c r="M84" s="228"/>
      <c r="N84" s="228"/>
    </row>
    <row r="85" spans="2:14" s="222" customFormat="1" x14ac:dyDescent="0.2">
      <c r="B85" s="228"/>
      <c r="C85" s="228"/>
      <c r="D85" s="228"/>
      <c r="E85" s="243"/>
      <c r="F85" s="228"/>
      <c r="G85" s="228"/>
      <c r="H85" s="228"/>
      <c r="I85" s="228"/>
      <c r="J85" s="228"/>
      <c r="K85" s="228"/>
      <c r="L85" s="228"/>
      <c r="M85" s="228"/>
      <c r="N85" s="228"/>
    </row>
    <row r="86" spans="2:14" s="222" customFormat="1" x14ac:dyDescent="0.2">
      <c r="B86" s="244"/>
      <c r="C86" s="244"/>
      <c r="D86" s="228"/>
      <c r="E86" s="243"/>
      <c r="F86" s="228"/>
      <c r="G86" s="228"/>
      <c r="H86" s="228"/>
      <c r="I86" s="228"/>
      <c r="J86" s="228"/>
      <c r="K86" s="228"/>
      <c r="L86" s="228"/>
      <c r="M86" s="228"/>
      <c r="N86" s="228"/>
    </row>
    <row r="87" spans="2:14" s="222" customFormat="1" x14ac:dyDescent="0.2">
      <c r="B87" s="245"/>
      <c r="C87" s="245"/>
      <c r="D87" s="228"/>
      <c r="E87" s="243"/>
      <c r="F87" s="228"/>
      <c r="G87" s="228"/>
      <c r="H87" s="228"/>
      <c r="I87" s="228"/>
      <c r="J87" s="228"/>
      <c r="K87" s="228"/>
      <c r="L87" s="228"/>
      <c r="M87" s="228"/>
      <c r="N87" s="228"/>
    </row>
    <row r="88" spans="2:14" s="222" customFormat="1" x14ac:dyDescent="0.2">
      <c r="B88" s="245"/>
      <c r="C88" s="245"/>
      <c r="D88" s="228"/>
      <c r="E88" s="243"/>
      <c r="F88" s="228"/>
      <c r="G88" s="228"/>
      <c r="H88" s="228"/>
      <c r="I88" s="228"/>
      <c r="J88" s="228"/>
      <c r="K88" s="228"/>
      <c r="L88" s="228"/>
      <c r="M88" s="228"/>
      <c r="N88" s="228"/>
    </row>
    <row r="89" spans="2:14" s="222" customFormat="1" x14ac:dyDescent="0.2">
      <c r="B89" s="245"/>
      <c r="C89" s="245"/>
      <c r="D89" s="228"/>
      <c r="E89" s="243"/>
      <c r="F89" s="228"/>
      <c r="G89" s="228"/>
      <c r="H89" s="228"/>
      <c r="I89" s="228"/>
      <c r="J89" s="228"/>
      <c r="K89" s="228"/>
      <c r="L89" s="228"/>
      <c r="M89" s="228"/>
      <c r="N89" s="228"/>
    </row>
    <row r="90" spans="2:14" s="222" customFormat="1" x14ac:dyDescent="0.2">
      <c r="B90" s="245"/>
      <c r="C90" s="245"/>
      <c r="D90" s="228"/>
      <c r="E90" s="243"/>
      <c r="F90" s="228"/>
      <c r="G90" s="228"/>
      <c r="H90" s="228"/>
      <c r="I90" s="228"/>
      <c r="J90" s="228"/>
      <c r="K90" s="228"/>
      <c r="L90" s="228"/>
      <c r="M90" s="228"/>
      <c r="N90" s="228"/>
    </row>
    <row r="91" spans="2:14" s="222" customFormat="1" x14ac:dyDescent="0.2">
      <c r="B91" s="228"/>
      <c r="C91" s="228"/>
      <c r="D91" s="228"/>
      <c r="E91" s="243"/>
      <c r="F91" s="228"/>
      <c r="G91" s="228"/>
      <c r="H91" s="228"/>
      <c r="I91" s="228"/>
      <c r="J91" s="228"/>
      <c r="K91" s="228"/>
      <c r="L91" s="228"/>
      <c r="M91" s="228"/>
      <c r="N91" s="228"/>
    </row>
    <row r="92" spans="2:14" s="222" customFormat="1" x14ac:dyDescent="0.2">
      <c r="B92" s="246"/>
      <c r="C92" s="246"/>
      <c r="D92" s="246"/>
      <c r="E92" s="246"/>
      <c r="F92" s="228"/>
      <c r="G92" s="228"/>
      <c r="H92" s="228"/>
      <c r="I92" s="228"/>
      <c r="J92" s="228"/>
      <c r="K92" s="228"/>
      <c r="L92" s="228"/>
      <c r="M92" s="228"/>
      <c r="N92" s="228"/>
    </row>
    <row r="93" spans="2:14" s="222" customFormat="1" x14ac:dyDescent="0.2">
      <c r="D93" s="228"/>
      <c r="E93" s="228"/>
      <c r="F93" s="228"/>
      <c r="G93" s="228"/>
      <c r="H93" s="228"/>
      <c r="I93" s="228"/>
      <c r="J93" s="228"/>
      <c r="K93" s="228"/>
      <c r="L93" s="228"/>
      <c r="M93" s="228"/>
      <c r="N93" s="228"/>
    </row>
    <row r="94" spans="2:14" s="222" customFormat="1" x14ac:dyDescent="0.2">
      <c r="D94" s="228"/>
      <c r="E94" s="228"/>
      <c r="F94" s="228"/>
      <c r="G94" s="228"/>
      <c r="H94" s="228"/>
      <c r="I94" s="228"/>
      <c r="J94" s="228"/>
      <c r="K94" s="228"/>
      <c r="L94" s="228"/>
      <c r="M94" s="228"/>
      <c r="N94" s="228"/>
    </row>
    <row r="95" spans="2:14" s="222" customFormat="1" x14ac:dyDescent="0.2">
      <c r="D95" s="228"/>
      <c r="E95" s="228"/>
      <c r="F95" s="228"/>
      <c r="G95" s="228"/>
      <c r="H95" s="228"/>
      <c r="I95" s="228"/>
      <c r="J95" s="228"/>
      <c r="K95" s="228"/>
      <c r="L95" s="228"/>
      <c r="M95" s="228"/>
      <c r="N95" s="228"/>
    </row>
    <row r="96" spans="2:14" s="222" customFormat="1" x14ac:dyDescent="0.2">
      <c r="D96" s="228"/>
      <c r="E96" s="228"/>
      <c r="F96" s="228"/>
      <c r="G96" s="228"/>
      <c r="H96" s="228"/>
      <c r="I96" s="228"/>
      <c r="J96" s="228"/>
      <c r="K96" s="228"/>
      <c r="L96" s="228"/>
      <c r="M96" s="228"/>
      <c r="N96" s="228"/>
    </row>
    <row r="97" spans="2:14" s="222" customFormat="1" x14ac:dyDescent="0.2">
      <c r="D97" s="228"/>
      <c r="E97" s="228"/>
      <c r="F97" s="228"/>
      <c r="G97" s="228"/>
      <c r="H97" s="228"/>
      <c r="I97" s="228"/>
      <c r="J97" s="228"/>
      <c r="K97" s="228"/>
      <c r="L97" s="228"/>
      <c r="M97" s="228"/>
      <c r="N97" s="228"/>
    </row>
    <row r="98" spans="2:14" s="222" customFormat="1" x14ac:dyDescent="0.2">
      <c r="D98" s="228"/>
      <c r="E98" s="228"/>
      <c r="F98" s="228"/>
      <c r="G98" s="228"/>
      <c r="H98" s="228"/>
      <c r="I98" s="228"/>
      <c r="J98" s="228"/>
      <c r="K98" s="228"/>
      <c r="L98" s="228"/>
      <c r="M98" s="228"/>
      <c r="N98" s="228"/>
    </row>
    <row r="99" spans="2:14" s="222" customFormat="1" x14ac:dyDescent="0.2">
      <c r="D99" s="228"/>
      <c r="E99" s="228"/>
      <c r="F99" s="228"/>
      <c r="G99" s="228"/>
      <c r="H99" s="228"/>
      <c r="I99" s="228"/>
      <c r="J99" s="228"/>
      <c r="K99" s="228"/>
      <c r="L99" s="228"/>
      <c r="M99" s="228"/>
      <c r="N99" s="228"/>
    </row>
    <row r="100" spans="2:14" s="222" customFormat="1" x14ac:dyDescent="0.2">
      <c r="D100" s="228"/>
      <c r="E100" s="228"/>
      <c r="F100" s="228"/>
      <c r="G100" s="228"/>
      <c r="H100" s="228"/>
      <c r="I100" s="228"/>
      <c r="J100" s="228"/>
      <c r="K100" s="228"/>
      <c r="L100" s="228"/>
      <c r="M100" s="228"/>
      <c r="N100" s="228"/>
    </row>
    <row r="101" spans="2:14" s="222" customFormat="1" x14ac:dyDescent="0.2">
      <c r="D101" s="228"/>
      <c r="E101" s="228"/>
      <c r="F101" s="228"/>
      <c r="G101" s="228"/>
      <c r="H101" s="228"/>
      <c r="I101" s="228"/>
      <c r="J101" s="228"/>
      <c r="K101" s="228"/>
      <c r="L101" s="228"/>
      <c r="M101" s="228"/>
      <c r="N101" s="228"/>
    </row>
    <row r="102" spans="2:14" s="222" customFormat="1" x14ac:dyDescent="0.2">
      <c r="D102" s="228"/>
      <c r="E102" s="228"/>
      <c r="F102" s="228"/>
      <c r="G102" s="228"/>
      <c r="H102" s="228"/>
      <c r="I102" s="228"/>
      <c r="J102" s="228"/>
      <c r="K102" s="228"/>
      <c r="L102" s="228"/>
      <c r="M102" s="228"/>
      <c r="N102" s="228"/>
    </row>
    <row r="103" spans="2:14" s="222" customFormat="1" x14ac:dyDescent="0.2">
      <c r="D103" s="228"/>
      <c r="E103" s="228"/>
      <c r="F103" s="228"/>
      <c r="G103" s="228"/>
      <c r="H103" s="228"/>
      <c r="I103" s="228"/>
      <c r="J103" s="228"/>
      <c r="K103" s="228"/>
      <c r="L103" s="228"/>
      <c r="M103" s="228"/>
      <c r="N103" s="228"/>
    </row>
    <row r="106" spans="2:14" x14ac:dyDescent="0.2">
      <c r="B106" s="255"/>
      <c r="C106" s="255"/>
    </row>
  </sheetData>
  <mergeCells count="1">
    <mergeCell ref="A2:C2"/>
  </mergeCells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/>
  </sheetPr>
  <dimension ref="A1:T61"/>
  <sheetViews>
    <sheetView showGridLines="0" zoomScaleNormal="100" workbookViewId="0">
      <selection activeCell="A2" sqref="A2:C10"/>
    </sheetView>
  </sheetViews>
  <sheetFormatPr defaultRowHeight="15" x14ac:dyDescent="0.25"/>
  <cols>
    <col min="1" max="1" width="38.5703125" customWidth="1"/>
    <col min="2" max="2" width="23.140625" customWidth="1"/>
    <col min="3" max="3" width="16.28515625" customWidth="1"/>
    <col min="4" max="4" width="35.7109375" customWidth="1"/>
    <col min="5" max="5" width="15" customWidth="1"/>
    <col min="6" max="6" width="27.42578125" customWidth="1"/>
    <col min="7" max="7" width="17.140625" style="1" customWidth="1"/>
    <col min="8" max="8" width="36.42578125" style="1" customWidth="1"/>
    <col min="9" max="10" width="9.140625" customWidth="1"/>
    <col min="11" max="11" width="17.7109375" customWidth="1"/>
    <col min="12" max="16" width="9.140625" customWidth="1"/>
    <col min="17" max="17" width="11.85546875" customWidth="1"/>
    <col min="18" max="18" width="11.140625" customWidth="1"/>
    <col min="19" max="19" width="10.7109375" customWidth="1"/>
    <col min="20" max="1025" width="9.140625" customWidth="1"/>
  </cols>
  <sheetData>
    <row r="1" spans="1:20" ht="15" customHeight="1" x14ac:dyDescent="0.25">
      <c r="A1" s="199"/>
      <c r="B1" s="199"/>
      <c r="C1" s="199"/>
      <c r="E1" s="1"/>
      <c r="F1" s="1"/>
    </row>
    <row r="2" spans="1:20" ht="15" customHeight="1" x14ac:dyDescent="0.25">
      <c r="A2" s="615" t="s">
        <v>101</v>
      </c>
      <c r="B2" s="615"/>
      <c r="C2" s="615"/>
      <c r="D2" s="54"/>
      <c r="E2" s="1"/>
      <c r="F2" s="1"/>
      <c r="G2" s="54"/>
    </row>
    <row r="3" spans="1:20" ht="15" customHeight="1" x14ac:dyDescent="0.25">
      <c r="A3" s="200"/>
      <c r="B3" s="200"/>
      <c r="C3" s="201"/>
      <c r="D3" s="1"/>
      <c r="E3" s="1"/>
      <c r="F3" s="1"/>
      <c r="G3" s="54"/>
    </row>
    <row r="4" spans="1:20" ht="15" customHeight="1" x14ac:dyDescent="0.25">
      <c r="A4" s="202"/>
      <c r="B4" s="202"/>
      <c r="C4" s="203">
        <v>465.04750000000001</v>
      </c>
      <c r="D4" s="1"/>
      <c r="E4" s="1"/>
      <c r="F4" s="1"/>
      <c r="G4" s="21"/>
      <c r="H4" s="47"/>
      <c r="I4" s="49"/>
      <c r="J4" s="49"/>
      <c r="K4" s="49"/>
    </row>
    <row r="5" spans="1:20" ht="15" customHeight="1" thickBot="1" x14ac:dyDescent="0.3">
      <c r="A5" s="191" t="s">
        <v>174</v>
      </c>
      <c r="B5" s="192" t="s">
        <v>9</v>
      </c>
      <c r="C5" s="217" t="s">
        <v>14</v>
      </c>
      <c r="D5" s="1"/>
      <c r="E5" s="78"/>
      <c r="F5" s="1"/>
      <c r="G5" s="21"/>
      <c r="H5" s="47"/>
      <c r="I5" s="49"/>
      <c r="J5" s="49"/>
      <c r="K5" s="49"/>
    </row>
    <row r="6" spans="1:20" ht="15" customHeight="1" thickTop="1" x14ac:dyDescent="0.25">
      <c r="A6" s="204"/>
      <c r="B6" s="309"/>
      <c r="C6" s="205"/>
      <c r="D6" s="1"/>
    </row>
    <row r="7" spans="1:20" ht="15" customHeight="1" x14ac:dyDescent="0.25">
      <c r="A7" s="463" t="s">
        <v>320</v>
      </c>
      <c r="B7" s="236"/>
      <c r="C7" s="206"/>
      <c r="D7" s="1"/>
    </row>
    <row r="8" spans="1:20" ht="15" customHeight="1" x14ac:dyDescent="0.25">
      <c r="A8" s="423" t="s">
        <v>108</v>
      </c>
      <c r="B8" s="236" t="s">
        <v>278</v>
      </c>
      <c r="C8" s="469">
        <v>18685</v>
      </c>
      <c r="D8" s="1"/>
    </row>
    <row r="9" spans="1:20" ht="15" customHeight="1" x14ac:dyDescent="0.25">
      <c r="A9" s="423"/>
      <c r="B9" s="236"/>
      <c r="C9" s="464"/>
      <c r="D9" s="1"/>
    </row>
    <row r="10" spans="1:20" ht="15" customHeight="1" x14ac:dyDescent="0.25">
      <c r="A10" s="425" t="s">
        <v>163</v>
      </c>
      <c r="B10" s="419"/>
      <c r="C10" s="470">
        <f>SUM(C8)</f>
        <v>18685</v>
      </c>
    </row>
    <row r="11" spans="1:20" ht="16.7" customHeight="1" x14ac:dyDescent="0.3">
      <c r="A11" s="23"/>
      <c r="B11" s="23"/>
      <c r="C11" s="23"/>
      <c r="D11" s="23"/>
    </row>
    <row r="12" spans="1:20" ht="16.7" customHeight="1" x14ac:dyDescent="0.3">
      <c r="A12" s="23"/>
      <c r="B12" s="23"/>
    </row>
    <row r="13" spans="1:20" ht="16.7" customHeight="1" x14ac:dyDescent="0.25">
      <c r="A13" s="56"/>
      <c r="B13" s="177"/>
      <c r="G13" s="48"/>
      <c r="H13" s="47"/>
      <c r="I13" s="49"/>
      <c r="J13" s="49"/>
      <c r="K13" s="49"/>
    </row>
    <row r="14" spans="1:20" ht="16.7" customHeight="1" x14ac:dyDescent="0.25">
      <c r="A14" s="56"/>
      <c r="B14" s="177"/>
      <c r="F14" s="1"/>
      <c r="H14" s="13"/>
      <c r="I14" s="34"/>
      <c r="J14" s="49"/>
      <c r="K14" s="49"/>
      <c r="L14" s="49"/>
    </row>
    <row r="15" spans="1:20" ht="16.7" customHeight="1" x14ac:dyDescent="0.25">
      <c r="A15" s="1"/>
      <c r="B15" s="1"/>
      <c r="F15" s="77"/>
      <c r="H15" s="13"/>
      <c r="I15" s="47"/>
      <c r="J15" s="49"/>
      <c r="K15" s="49"/>
      <c r="L15" s="49"/>
      <c r="R15" s="1"/>
      <c r="S15" s="1"/>
      <c r="T15" s="1"/>
    </row>
    <row r="16" spans="1:20" ht="16.7" customHeight="1" x14ac:dyDescent="0.25">
      <c r="A16" s="1"/>
      <c r="B16" s="1"/>
      <c r="F16" s="1"/>
      <c r="H16" s="13"/>
      <c r="I16" s="47"/>
      <c r="J16" s="49"/>
      <c r="K16" s="49"/>
      <c r="L16" s="49"/>
      <c r="N16" s="616" t="s">
        <v>46</v>
      </c>
      <c r="O16" s="616"/>
      <c r="P16" s="616"/>
      <c r="Q16" s="616"/>
      <c r="R16" s="1"/>
      <c r="S16" s="1"/>
      <c r="T16" s="1"/>
    </row>
    <row r="17" spans="1:20" ht="16.7" customHeight="1" x14ac:dyDescent="0.25">
      <c r="A17" s="1"/>
      <c r="B17" s="1"/>
      <c r="F17" s="1"/>
      <c r="H17" s="13"/>
      <c r="I17" s="34"/>
      <c r="J17" s="49"/>
      <c r="K17" s="49"/>
      <c r="L17" s="59"/>
      <c r="N17">
        <f>50895-45424</f>
        <v>5471</v>
      </c>
      <c r="O17">
        <f>N17/$N$22</f>
        <v>0.23931586544770569</v>
      </c>
      <c r="P17">
        <f>85*O17</f>
        <v>20.341848563054985</v>
      </c>
      <c r="Q17">
        <v>20</v>
      </c>
      <c r="R17" s="1"/>
      <c r="S17" s="1"/>
      <c r="T17" s="1"/>
    </row>
    <row r="18" spans="1:20" ht="16.7" customHeight="1" x14ac:dyDescent="0.3">
      <c r="A18" s="1"/>
      <c r="B18" s="1"/>
      <c r="F18" s="23"/>
      <c r="G18" s="24"/>
      <c r="H18" s="24"/>
      <c r="I18" s="24"/>
      <c r="J18" s="24"/>
      <c r="K18" s="49"/>
      <c r="L18" s="453"/>
      <c r="N18">
        <f>52297-50895</f>
        <v>1402</v>
      </c>
      <c r="O18">
        <f>N18/$N$22</f>
        <v>6.1327151043261446E-2</v>
      </c>
      <c r="P18">
        <f>85*O18</f>
        <v>5.2128078386772225</v>
      </c>
      <c r="Q18">
        <v>5</v>
      </c>
      <c r="R18" s="1"/>
      <c r="S18" s="1"/>
      <c r="T18" s="1"/>
    </row>
    <row r="19" spans="1:20" ht="16.7" customHeight="1" x14ac:dyDescent="0.25">
      <c r="A19" s="1"/>
      <c r="B19" s="1"/>
      <c r="F19" s="1"/>
      <c r="G19" s="25"/>
      <c r="H19" s="25"/>
      <c r="I19" s="25"/>
      <c r="J19" s="25"/>
      <c r="K19" s="49"/>
      <c r="L19" s="453"/>
      <c r="N19">
        <f>60233-52297</f>
        <v>7936</v>
      </c>
      <c r="O19">
        <f>N19/$N$22</f>
        <v>0.34714141988539432</v>
      </c>
      <c r="P19">
        <f>85*O19</f>
        <v>29.507020690258518</v>
      </c>
      <c r="Q19">
        <v>30</v>
      </c>
      <c r="R19" s="1"/>
      <c r="S19" s="1"/>
      <c r="T19" s="1"/>
    </row>
    <row r="20" spans="1:20" ht="16.7" customHeight="1" x14ac:dyDescent="0.25">
      <c r="A20" s="1"/>
      <c r="B20" s="1"/>
      <c r="F20" s="1"/>
      <c r="G20" s="25"/>
      <c r="H20" s="25"/>
      <c r="I20" s="25"/>
      <c r="J20" s="25"/>
      <c r="K20" s="47"/>
      <c r="L20" s="453"/>
      <c r="M20" s="1"/>
      <c r="N20" s="1">
        <f>65076-60233</f>
        <v>4843</v>
      </c>
      <c r="O20" s="1">
        <f>N20/$N$22</f>
        <v>0.21184550107169414</v>
      </c>
      <c r="P20" s="1">
        <f>85*O20</f>
        <v>18.006867591094004</v>
      </c>
      <c r="Q20" s="1">
        <v>18</v>
      </c>
      <c r="R20" s="1"/>
      <c r="S20" s="1"/>
      <c r="T20" s="1"/>
    </row>
    <row r="21" spans="1:20" ht="16.7" customHeight="1" x14ac:dyDescent="0.25">
      <c r="F21" s="1"/>
      <c r="G21" s="25"/>
      <c r="H21" s="25"/>
      <c r="I21" s="25"/>
      <c r="J21" s="25"/>
      <c r="K21" s="47"/>
      <c r="L21" s="453"/>
      <c r="M21" s="1"/>
      <c r="N21" s="1">
        <f>68288-65079</f>
        <v>3209</v>
      </c>
      <c r="O21" s="22">
        <f>N21/$N$22</f>
        <v>0.14037006255194437</v>
      </c>
      <c r="P21" s="22">
        <f>85*O21</f>
        <v>11.931455316915271</v>
      </c>
      <c r="Q21" s="1">
        <v>12</v>
      </c>
      <c r="R21" s="1"/>
      <c r="S21" s="1"/>
      <c r="T21" s="1"/>
    </row>
    <row r="22" spans="1:20" x14ac:dyDescent="0.25">
      <c r="A22" s="352" t="s">
        <v>248</v>
      </c>
      <c r="F22" s="1"/>
      <c r="G22" s="25"/>
      <c r="H22" s="25"/>
      <c r="I22" s="25"/>
      <c r="J22" s="25"/>
      <c r="K22" s="47"/>
      <c r="L22" s="453"/>
      <c r="M22" s="1"/>
      <c r="N22" s="1">
        <f>SUM(N17:N21)</f>
        <v>22861</v>
      </c>
      <c r="O22" s="1"/>
      <c r="P22" s="1"/>
      <c r="Q22" s="1">
        <f>SUM(Q17:Q21)</f>
        <v>85</v>
      </c>
      <c r="R22" s="310"/>
      <c r="S22" s="310"/>
      <c r="T22" s="310"/>
    </row>
    <row r="23" spans="1:20" x14ac:dyDescent="0.25">
      <c r="A23" s="315" t="s">
        <v>40</v>
      </c>
      <c r="B23" s="315" t="s">
        <v>227</v>
      </c>
      <c r="F23" s="1"/>
      <c r="G23" s="25"/>
      <c r="H23" s="25"/>
      <c r="I23" s="25"/>
      <c r="J23" s="25"/>
      <c r="K23" s="49"/>
      <c r="L23" s="454"/>
      <c r="R23" s="1"/>
      <c r="S23" s="1"/>
      <c r="T23" s="1"/>
    </row>
    <row r="24" spans="1:20" x14ac:dyDescent="0.25">
      <c r="A24">
        <v>12185.87</v>
      </c>
      <c r="B24" t="s">
        <v>227</v>
      </c>
      <c r="F24" s="1"/>
      <c r="G24" s="25"/>
      <c r="H24" s="25"/>
      <c r="I24" s="25"/>
      <c r="J24" s="25"/>
      <c r="K24" s="49"/>
      <c r="L24" s="454"/>
      <c r="R24" s="1"/>
      <c r="S24" s="1"/>
      <c r="T24" s="1"/>
    </row>
    <row r="25" spans="1:20" x14ac:dyDescent="0.25">
      <c r="A25" s="22">
        <v>11806.57</v>
      </c>
      <c r="B25" s="1" t="s">
        <v>227</v>
      </c>
      <c r="F25" s="1"/>
      <c r="G25" s="25"/>
      <c r="H25" s="25"/>
      <c r="I25" s="25"/>
      <c r="J25" s="25"/>
      <c r="K25" s="49"/>
      <c r="L25" s="455"/>
      <c r="R25" s="1"/>
      <c r="S25" s="1"/>
      <c r="T25" s="1"/>
    </row>
    <row r="26" spans="1:20" x14ac:dyDescent="0.25">
      <c r="A26" s="328">
        <f>SUM(A24-A25)</f>
        <v>379.30000000000109</v>
      </c>
      <c r="B26" s="1" t="s">
        <v>14</v>
      </c>
      <c r="F26" s="1"/>
      <c r="G26" s="25"/>
      <c r="H26" s="25"/>
      <c r="I26" s="25"/>
      <c r="J26" s="25"/>
      <c r="K26" s="49"/>
      <c r="L26" s="49"/>
      <c r="R26" s="1"/>
      <c r="S26" s="1"/>
      <c r="T26" s="1"/>
    </row>
    <row r="27" spans="1:20" x14ac:dyDescent="0.25">
      <c r="A27" s="369">
        <f>SUM(A26)/5280</f>
        <v>7.1837121212121421E-2</v>
      </c>
      <c r="B27" s="370" t="s">
        <v>166</v>
      </c>
      <c r="G27" s="25"/>
      <c r="H27" s="2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25">
      <c r="A28" s="369"/>
      <c r="B28" s="370"/>
      <c r="G28" s="25"/>
      <c r="H28" s="2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x14ac:dyDescent="0.25">
      <c r="A29" s="315" t="s">
        <v>40</v>
      </c>
      <c r="B29" s="315" t="s">
        <v>227</v>
      </c>
      <c r="G29" s="25"/>
      <c r="H29" s="2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x14ac:dyDescent="0.25">
      <c r="A30" s="1">
        <v>12396.78</v>
      </c>
      <c r="B30" t="s">
        <v>227</v>
      </c>
      <c r="G30" s="25"/>
      <c r="H30" s="2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x14ac:dyDescent="0.25">
      <c r="A31" s="22">
        <v>12185.87</v>
      </c>
      <c r="B31" s="1" t="s">
        <v>227</v>
      </c>
      <c r="D31" s="373"/>
      <c r="E31" s="75"/>
      <c r="G31" s="25"/>
      <c r="H31" s="2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x14ac:dyDescent="0.25">
      <c r="A32" s="328">
        <f>SUM(A30-A31)</f>
        <v>210.90999999999985</v>
      </c>
      <c r="B32" s="1" t="s">
        <v>14</v>
      </c>
      <c r="D32" s="372"/>
      <c r="E32" s="375"/>
    </row>
    <row r="33" spans="1:5" x14ac:dyDescent="0.25">
      <c r="A33" s="369">
        <f>SUM(A32)/5280</f>
        <v>3.9945075757575728E-2</v>
      </c>
      <c r="B33" s="370" t="s">
        <v>166</v>
      </c>
      <c r="D33" s="374"/>
      <c r="E33" s="315"/>
    </row>
    <row r="34" spans="1:5" x14ac:dyDescent="0.25">
      <c r="A34" s="369"/>
      <c r="B34" s="370"/>
      <c r="D34" s="372"/>
      <c r="E34" s="315"/>
    </row>
    <row r="35" spans="1:5" x14ac:dyDescent="0.25">
      <c r="A35" s="315" t="s">
        <v>40</v>
      </c>
      <c r="B35" s="329" t="s">
        <v>227</v>
      </c>
      <c r="D35" s="372"/>
      <c r="E35" s="315"/>
    </row>
    <row r="36" spans="1:5" x14ac:dyDescent="0.25">
      <c r="A36">
        <v>33217.47</v>
      </c>
      <c r="B36" s="1" t="s">
        <v>227</v>
      </c>
      <c r="D36" s="372"/>
      <c r="E36" s="315"/>
    </row>
    <row r="37" spans="1:5" x14ac:dyDescent="0.25">
      <c r="A37" s="22">
        <v>12396.78</v>
      </c>
      <c r="B37" s="1" t="s">
        <v>227</v>
      </c>
      <c r="D37" s="372"/>
      <c r="E37" s="315"/>
    </row>
    <row r="38" spans="1:5" x14ac:dyDescent="0.25">
      <c r="A38">
        <f>SUM(A36-A37)</f>
        <v>20820.690000000002</v>
      </c>
      <c r="B38" t="s">
        <v>14</v>
      </c>
      <c r="D38" s="372"/>
      <c r="E38" s="315"/>
    </row>
    <row r="39" spans="1:5" x14ac:dyDescent="0.25">
      <c r="A39" s="369">
        <f>SUM(A38)/5280</f>
        <v>3.9433125000000002</v>
      </c>
      <c r="B39" s="352" t="s">
        <v>166</v>
      </c>
      <c r="D39" s="377"/>
      <c r="E39" s="329"/>
    </row>
    <row r="40" spans="1:5" x14ac:dyDescent="0.25">
      <c r="D40" s="1"/>
      <c r="E40" s="376"/>
    </row>
    <row r="41" spans="1:5" x14ac:dyDescent="0.25">
      <c r="A41" t="s">
        <v>277</v>
      </c>
      <c r="B41" s="328">
        <f>SUM(A26,A32,A38)</f>
        <v>21410.9</v>
      </c>
    </row>
    <row r="43" spans="1:5" x14ac:dyDescent="0.25">
      <c r="A43" s="199"/>
      <c r="B43" s="199"/>
      <c r="C43" s="199"/>
    </row>
    <row r="44" spans="1:5" x14ac:dyDescent="0.25">
      <c r="A44" s="615" t="s">
        <v>101</v>
      </c>
      <c r="B44" s="615"/>
      <c r="C44" s="615"/>
    </row>
    <row r="45" spans="1:5" x14ac:dyDescent="0.25">
      <c r="A45" s="200"/>
      <c r="B45" s="200"/>
      <c r="C45" s="201"/>
    </row>
    <row r="46" spans="1:5" x14ac:dyDescent="0.25">
      <c r="A46" s="202"/>
      <c r="B46" s="202"/>
      <c r="C46" s="203">
        <v>465.04750000000001</v>
      </c>
    </row>
    <row r="47" spans="1:5" ht="15.75" thickBot="1" x14ac:dyDescent="0.3">
      <c r="A47" s="191" t="s">
        <v>174</v>
      </c>
      <c r="B47" s="192" t="s">
        <v>9</v>
      </c>
      <c r="C47" s="217" t="s">
        <v>14</v>
      </c>
    </row>
    <row r="48" spans="1:5" ht="15.75" thickTop="1" x14ac:dyDescent="0.25">
      <c r="A48" s="460"/>
      <c r="B48" s="459"/>
      <c r="C48" s="459"/>
    </row>
    <row r="49" spans="1:3" x14ac:dyDescent="0.25">
      <c r="A49" s="463" t="s">
        <v>320</v>
      </c>
      <c r="B49" s="236" t="s">
        <v>278</v>
      </c>
      <c r="C49" s="206"/>
    </row>
    <row r="50" spans="1:3" x14ac:dyDescent="0.25">
      <c r="A50" s="423" t="s">
        <v>108</v>
      </c>
      <c r="B50" s="236" t="s">
        <v>278</v>
      </c>
      <c r="C50" s="464">
        <v>21411</v>
      </c>
    </row>
    <row r="51" spans="1:3" x14ac:dyDescent="0.25">
      <c r="A51" s="423" t="s">
        <v>319</v>
      </c>
      <c r="B51" s="236" t="s">
        <v>279</v>
      </c>
      <c r="C51" s="464">
        <v>326.10000000000002</v>
      </c>
    </row>
    <row r="52" spans="1:3" x14ac:dyDescent="0.25">
      <c r="A52" s="463" t="s">
        <v>318</v>
      </c>
      <c r="B52" s="75"/>
      <c r="C52" s="420"/>
    </row>
    <row r="53" spans="1:3" x14ac:dyDescent="0.25">
      <c r="A53" s="423" t="s">
        <v>222</v>
      </c>
      <c r="B53" s="75"/>
      <c r="C53" s="420">
        <v>400</v>
      </c>
    </row>
    <row r="54" spans="1:3" x14ac:dyDescent="0.25">
      <c r="A54" s="423" t="s">
        <v>317</v>
      </c>
      <c r="B54" s="25"/>
      <c r="C54" s="420">
        <v>400</v>
      </c>
    </row>
    <row r="55" spans="1:3" x14ac:dyDescent="0.25">
      <c r="A55" s="423" t="s">
        <v>231</v>
      </c>
      <c r="B55" s="25"/>
      <c r="C55" s="420">
        <v>400</v>
      </c>
    </row>
    <row r="56" spans="1:3" x14ac:dyDescent="0.25">
      <c r="A56" s="423" t="s">
        <v>316</v>
      </c>
      <c r="B56" s="25"/>
      <c r="C56" s="420">
        <v>400</v>
      </c>
    </row>
    <row r="57" spans="1:3" x14ac:dyDescent="0.25">
      <c r="A57" s="424" t="s">
        <v>225</v>
      </c>
      <c r="B57" s="25"/>
      <c r="C57" s="421">
        <v>400</v>
      </c>
    </row>
    <row r="58" spans="1:3" x14ac:dyDescent="0.25">
      <c r="A58" s="462" t="s">
        <v>315</v>
      </c>
      <c r="B58" s="25"/>
      <c r="C58" s="421"/>
    </row>
    <row r="59" spans="1:3" x14ac:dyDescent="0.25">
      <c r="A59" s="377"/>
      <c r="B59" s="422" t="s">
        <v>280</v>
      </c>
      <c r="C59" s="421">
        <v>200</v>
      </c>
    </row>
    <row r="60" spans="1:3" x14ac:dyDescent="0.25">
      <c r="A60" s="377"/>
      <c r="B60" s="422" t="s">
        <v>281</v>
      </c>
      <c r="C60" s="421">
        <v>200</v>
      </c>
    </row>
    <row r="61" spans="1:3" x14ac:dyDescent="0.25">
      <c r="A61" s="425" t="s">
        <v>163</v>
      </c>
      <c r="B61" s="419"/>
      <c r="C61" s="465">
        <f>SUM(C50)-(C51+C53+C54+C55+C56+C57+C59+C60)</f>
        <v>18684.900000000001</v>
      </c>
    </row>
  </sheetData>
  <mergeCells count="3">
    <mergeCell ref="A2:C2"/>
    <mergeCell ref="N16:Q16"/>
    <mergeCell ref="A44:C44"/>
  </mergeCells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/>
  </sheetPr>
  <dimension ref="A1:AMA78"/>
  <sheetViews>
    <sheetView showGridLines="0" zoomScaleNormal="100" workbookViewId="0">
      <selection activeCell="A2" sqref="A2:D14"/>
    </sheetView>
  </sheetViews>
  <sheetFormatPr defaultRowHeight="18" x14ac:dyDescent="0.25"/>
  <cols>
    <col min="1" max="1" width="13.28515625" style="6" customWidth="1"/>
    <col min="2" max="2" width="15.7109375" style="6" customWidth="1"/>
    <col min="3" max="3" width="18.28515625" style="7" customWidth="1"/>
    <col min="4" max="4" width="29" style="7" customWidth="1"/>
    <col min="5" max="5" width="8.85546875" style="6" customWidth="1"/>
    <col min="6" max="6" width="65.7109375" style="6" customWidth="1"/>
    <col min="7" max="1015" width="8.85546875" style="6" customWidth="1"/>
  </cols>
  <sheetData>
    <row r="1" spans="1:4" ht="15" customHeight="1" x14ac:dyDescent="0.25">
      <c r="A1" s="257"/>
      <c r="B1" s="257"/>
      <c r="C1" s="211"/>
      <c r="D1" s="211"/>
    </row>
    <row r="2" spans="1:4" ht="15" customHeight="1" x14ac:dyDescent="0.25">
      <c r="A2" s="615" t="s">
        <v>48</v>
      </c>
      <c r="B2" s="615"/>
      <c r="C2" s="615"/>
      <c r="D2" s="615"/>
    </row>
    <row r="3" spans="1:4" ht="15" customHeight="1" x14ac:dyDescent="0.25">
      <c r="A3" s="202"/>
      <c r="B3" s="202"/>
      <c r="C3" s="202"/>
      <c r="D3" s="202"/>
    </row>
    <row r="4" spans="1:4" ht="15" customHeight="1" x14ac:dyDescent="0.25">
      <c r="A4" s="202"/>
      <c r="B4" s="202"/>
      <c r="C4" s="202"/>
      <c r="D4" s="203">
        <v>520.10239999999999</v>
      </c>
    </row>
    <row r="5" spans="1:4" ht="15" customHeight="1" x14ac:dyDescent="0.25">
      <c r="A5" s="202"/>
      <c r="B5" s="202"/>
      <c r="C5" s="202"/>
      <c r="D5" s="205" t="s">
        <v>110</v>
      </c>
    </row>
    <row r="6" spans="1:4" ht="15" customHeight="1" x14ac:dyDescent="0.25">
      <c r="A6" s="202"/>
      <c r="B6" s="202"/>
      <c r="C6" s="202"/>
      <c r="D6" s="459" t="s">
        <v>111</v>
      </c>
    </row>
    <row r="7" spans="1:4" ht="15" customHeight="1" x14ac:dyDescent="0.25">
      <c r="A7" s="202"/>
      <c r="B7" s="202"/>
      <c r="C7" s="202"/>
      <c r="D7" s="207" t="s">
        <v>324</v>
      </c>
    </row>
    <row r="8" spans="1:4" ht="15" customHeight="1" x14ac:dyDescent="0.25">
      <c r="A8" s="210"/>
      <c r="B8" s="210"/>
      <c r="C8" s="211"/>
      <c r="D8" s="211" t="s">
        <v>50</v>
      </c>
    </row>
    <row r="9" spans="1:4" ht="15" customHeight="1" thickBot="1" x14ac:dyDescent="0.3">
      <c r="A9" s="232" t="s">
        <v>174</v>
      </c>
      <c r="B9" s="217" t="s">
        <v>2</v>
      </c>
      <c r="C9" s="217" t="s">
        <v>3</v>
      </c>
      <c r="D9" s="217" t="s">
        <v>4</v>
      </c>
    </row>
    <row r="10" spans="1:4" ht="15" customHeight="1" thickTop="1" x14ac:dyDescent="0.25">
      <c r="A10" s="204"/>
      <c r="B10" s="204"/>
      <c r="C10" s="205"/>
      <c r="D10" s="205"/>
    </row>
    <row r="11" spans="1:4" ht="15" customHeight="1" x14ac:dyDescent="0.25">
      <c r="A11" s="210" t="s">
        <v>108</v>
      </c>
      <c r="B11" s="211" t="s">
        <v>106</v>
      </c>
      <c r="C11" s="211" t="s">
        <v>7</v>
      </c>
      <c r="D11" s="205">
        <v>1</v>
      </c>
    </row>
    <row r="12" spans="1:4" ht="15" customHeight="1" x14ac:dyDescent="0.25">
      <c r="A12" s="210" t="s">
        <v>108</v>
      </c>
      <c r="B12" s="211" t="s">
        <v>107</v>
      </c>
      <c r="C12" s="211" t="s">
        <v>7</v>
      </c>
      <c r="D12" s="205">
        <v>1</v>
      </c>
    </row>
    <row r="13" spans="1:4" ht="15" customHeight="1" thickBot="1" x14ac:dyDescent="0.3">
      <c r="A13" s="208"/>
      <c r="B13" s="208"/>
      <c r="C13" s="209"/>
      <c r="D13" s="209"/>
    </row>
    <row r="14" spans="1:4" ht="15" customHeight="1" thickTop="1" x14ac:dyDescent="0.25">
      <c r="A14" s="204" t="s">
        <v>163</v>
      </c>
      <c r="B14" s="204"/>
      <c r="C14" s="205"/>
      <c r="D14" s="205">
        <f>SUM(D11:D12)</f>
        <v>2</v>
      </c>
    </row>
    <row r="15" spans="1:4" ht="16.7" customHeight="1" x14ac:dyDescent="0.25">
      <c r="A15" s="199"/>
      <c r="B15" s="199"/>
      <c r="C15" s="236"/>
      <c r="D15" s="236"/>
    </row>
    <row r="16" spans="1:4" ht="16.7" customHeight="1" x14ac:dyDescent="0.25">
      <c r="A16" s="199"/>
      <c r="B16" s="199"/>
      <c r="C16" s="236"/>
      <c r="D16" s="236"/>
    </row>
    <row r="17" spans="1:4" ht="16.7" customHeight="1" x14ac:dyDescent="0.25">
      <c r="A17" s="199"/>
      <c r="B17" s="199"/>
      <c r="C17" s="236"/>
      <c r="D17" s="236"/>
    </row>
    <row r="18" spans="1:4" ht="16.7" customHeight="1" x14ac:dyDescent="0.25"/>
    <row r="19" spans="1:4" ht="16.7" customHeight="1" x14ac:dyDescent="0.25">
      <c r="A19" s="313" t="s">
        <v>220</v>
      </c>
    </row>
    <row r="20" spans="1:4" ht="16.7" customHeight="1" x14ac:dyDescent="0.25">
      <c r="A20" s="313" t="s">
        <v>221</v>
      </c>
    </row>
    <row r="21" spans="1:4" ht="16.7" customHeight="1" x14ac:dyDescent="0.25">
      <c r="A21" s="60"/>
      <c r="B21" s="60"/>
      <c r="C21" s="61"/>
      <c r="D21" s="20"/>
    </row>
    <row r="22" spans="1:4" ht="16.7" customHeight="1" x14ac:dyDescent="0.25">
      <c r="A22" s="60"/>
      <c r="B22" s="60"/>
      <c r="C22" s="61"/>
      <c r="D22" s="20"/>
    </row>
    <row r="23" spans="1:4" ht="16.7" customHeight="1" x14ac:dyDescent="0.25">
      <c r="A23" s="60"/>
      <c r="B23" s="60"/>
      <c r="C23" s="61"/>
      <c r="D23" s="20"/>
    </row>
    <row r="24" spans="1:4" ht="16.7" customHeight="1" x14ac:dyDescent="0.25">
      <c r="A24" s="60"/>
      <c r="B24" s="60"/>
      <c r="C24" s="61"/>
      <c r="D24" s="20"/>
    </row>
    <row r="25" spans="1:4" ht="16.7" customHeight="1" x14ac:dyDescent="0.25">
      <c r="A25" s="60"/>
      <c r="B25" s="60"/>
      <c r="C25" s="61"/>
      <c r="D25" s="20"/>
    </row>
    <row r="26" spans="1:4" ht="16.7" customHeight="1" x14ac:dyDescent="0.25">
      <c r="A26" s="60"/>
      <c r="B26" s="60"/>
      <c r="C26" s="61"/>
      <c r="D26" s="20"/>
    </row>
    <row r="27" spans="1:4" ht="16.7" customHeight="1" x14ac:dyDescent="0.25"/>
    <row r="28" spans="1:4" ht="16.899999999999999" customHeight="1" x14ac:dyDescent="0.25"/>
    <row r="29" spans="1:4" ht="16.899999999999999" customHeight="1" x14ac:dyDescent="0.25"/>
    <row r="30" spans="1:4" ht="16.899999999999999" customHeight="1" x14ac:dyDescent="0.25"/>
    <row r="31" spans="1:4" ht="16.899999999999999" customHeight="1" x14ac:dyDescent="0.25"/>
    <row r="32" spans="1:4" ht="16.899999999999999" customHeight="1" x14ac:dyDescent="0.25"/>
    <row r="33" ht="16.899999999999999" customHeight="1" x14ac:dyDescent="0.25"/>
    <row r="34" ht="16.899999999999999" customHeight="1" x14ac:dyDescent="0.25"/>
    <row r="35" ht="16.899999999999999" customHeight="1" x14ac:dyDescent="0.25"/>
    <row r="36" ht="16.899999999999999" customHeight="1" x14ac:dyDescent="0.25"/>
    <row r="37" ht="16.899999999999999" customHeight="1" x14ac:dyDescent="0.25"/>
    <row r="38" ht="16.899999999999999" customHeight="1" x14ac:dyDescent="0.25"/>
    <row r="39" ht="16.899999999999999" customHeight="1" x14ac:dyDescent="0.25"/>
    <row r="40" ht="16.899999999999999" customHeight="1" x14ac:dyDescent="0.25"/>
    <row r="41" ht="16.899999999999999" customHeight="1" x14ac:dyDescent="0.25"/>
    <row r="42" ht="16.899999999999999" customHeight="1" x14ac:dyDescent="0.25"/>
    <row r="43" ht="16.899999999999999" customHeight="1" x14ac:dyDescent="0.25"/>
    <row r="44" ht="16.899999999999999" customHeight="1" x14ac:dyDescent="0.25"/>
    <row r="45" ht="16.899999999999999" customHeight="1" x14ac:dyDescent="0.25"/>
    <row r="46" ht="16.899999999999999" customHeight="1" x14ac:dyDescent="0.25"/>
    <row r="47" ht="16.899999999999999" customHeight="1" x14ac:dyDescent="0.25"/>
    <row r="48" ht="16.899999999999999" customHeight="1" x14ac:dyDescent="0.25"/>
    <row r="49" ht="16.899999999999999" customHeight="1" x14ac:dyDescent="0.25"/>
    <row r="50" ht="16.899999999999999" customHeight="1" x14ac:dyDescent="0.25"/>
    <row r="51" ht="16.899999999999999" customHeight="1" x14ac:dyDescent="0.25"/>
    <row r="52" ht="16.899999999999999" customHeight="1" x14ac:dyDescent="0.25"/>
    <row r="53" ht="16.899999999999999" customHeight="1" x14ac:dyDescent="0.25"/>
    <row r="54" ht="16.899999999999999" customHeight="1" x14ac:dyDescent="0.25"/>
    <row r="55" ht="16.899999999999999" customHeight="1" x14ac:dyDescent="0.25"/>
    <row r="56" ht="16.899999999999999" customHeight="1" x14ac:dyDescent="0.25"/>
    <row r="57" ht="16.899999999999999" customHeight="1" x14ac:dyDescent="0.25"/>
    <row r="58" ht="16.899999999999999" customHeight="1" x14ac:dyDescent="0.25"/>
    <row r="59" ht="16.899999999999999" customHeight="1" x14ac:dyDescent="0.25"/>
    <row r="60" ht="16.899999999999999" customHeight="1" x14ac:dyDescent="0.25"/>
    <row r="61" ht="16.899999999999999" customHeight="1" x14ac:dyDescent="0.25"/>
    <row r="62" ht="16.899999999999999" customHeight="1" x14ac:dyDescent="0.25"/>
    <row r="63" ht="16.899999999999999" customHeight="1" x14ac:dyDescent="0.25"/>
    <row r="64" ht="16.899999999999999" customHeight="1" x14ac:dyDescent="0.25"/>
    <row r="65" ht="16.899999999999999" customHeight="1" x14ac:dyDescent="0.25"/>
    <row r="66" ht="16.899999999999999" customHeight="1" x14ac:dyDescent="0.25"/>
    <row r="67" ht="16.899999999999999" customHeight="1" x14ac:dyDescent="0.25"/>
    <row r="68" ht="16.899999999999999" customHeight="1" x14ac:dyDescent="0.25"/>
    <row r="69" ht="16.899999999999999" customHeight="1" x14ac:dyDescent="0.25"/>
    <row r="70" ht="16.899999999999999" customHeight="1" x14ac:dyDescent="0.25"/>
    <row r="71" ht="16.899999999999999" customHeight="1" x14ac:dyDescent="0.25"/>
    <row r="72" ht="16.899999999999999" customHeight="1" x14ac:dyDescent="0.25"/>
    <row r="73" ht="16.899999999999999" customHeight="1" x14ac:dyDescent="0.25"/>
    <row r="74" ht="16.899999999999999" customHeight="1" x14ac:dyDescent="0.25"/>
    <row r="75" ht="16.899999999999999" customHeight="1" x14ac:dyDescent="0.25"/>
    <row r="76" ht="16.899999999999999" customHeight="1" x14ac:dyDescent="0.25"/>
    <row r="77" ht="16.899999999999999" customHeight="1" x14ac:dyDescent="0.25"/>
    <row r="78" ht="16.899999999999999" customHeight="1" x14ac:dyDescent="0.25"/>
  </sheetData>
  <mergeCells count="1">
    <mergeCell ref="A2:D2"/>
  </mergeCells>
  <pageMargins left="0.7" right="0.7" top="0.75" bottom="0.75" header="0.51180555555555496" footer="0.51180555555555496"/>
  <pageSetup firstPageNumber="0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/>
  </sheetPr>
  <dimension ref="A1:Z26"/>
  <sheetViews>
    <sheetView showGridLines="0" zoomScaleNormal="100" workbookViewId="0">
      <selection activeCell="A2" sqref="A2:G13"/>
    </sheetView>
  </sheetViews>
  <sheetFormatPr defaultRowHeight="15" x14ac:dyDescent="0.25"/>
  <cols>
    <col min="1" max="1" width="14.7109375" customWidth="1"/>
    <col min="2" max="2" width="14.5703125" customWidth="1"/>
    <col min="3" max="3" width="14.140625" customWidth="1"/>
    <col min="4" max="4" width="19.28515625" customWidth="1"/>
    <col min="5" max="5" width="19.85546875" customWidth="1"/>
    <col min="6" max="6" width="16.85546875" customWidth="1"/>
    <col min="7" max="7" width="38.42578125" customWidth="1"/>
    <col min="8" max="1025" width="9.140625" customWidth="1"/>
  </cols>
  <sheetData>
    <row r="1" spans="1:26" ht="15" customHeight="1" x14ac:dyDescent="0.25">
      <c r="A1" s="62"/>
      <c r="B1" s="62"/>
      <c r="C1" s="62"/>
      <c r="D1" s="62"/>
      <c r="E1" s="62"/>
      <c r="F1" s="63"/>
      <c r="G1" s="63"/>
    </row>
    <row r="2" spans="1:26" ht="15" customHeight="1" x14ac:dyDescent="0.25">
      <c r="A2" s="611" t="s">
        <v>323</v>
      </c>
      <c r="B2" s="611"/>
      <c r="C2" s="611"/>
      <c r="D2" s="611"/>
      <c r="E2" s="611"/>
      <c r="F2" s="611"/>
      <c r="G2" s="382"/>
    </row>
    <row r="3" spans="1:26" ht="15" customHeight="1" x14ac:dyDescent="0.25">
      <c r="A3" s="153"/>
      <c r="B3" s="153"/>
      <c r="C3" s="153"/>
      <c r="D3" s="154"/>
      <c r="E3" s="15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5">
      <c r="A4" s="153"/>
      <c r="B4" s="153"/>
      <c r="C4" s="155">
        <v>614.04</v>
      </c>
      <c r="D4" s="155">
        <v>614.09500000000003</v>
      </c>
      <c r="E4" s="155">
        <v>614.0951</v>
      </c>
      <c r="F4" s="155">
        <v>614.09519999999998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5">
      <c r="A5" s="153"/>
      <c r="B5" s="153"/>
      <c r="C5" s="155" t="s">
        <v>196</v>
      </c>
      <c r="D5" s="155"/>
      <c r="E5" s="155"/>
      <c r="F5" s="155" t="s">
        <v>193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5">
      <c r="A6" s="156"/>
      <c r="B6" s="156"/>
      <c r="C6" s="157" t="s">
        <v>197</v>
      </c>
      <c r="D6" s="618" t="s">
        <v>114</v>
      </c>
      <c r="E6" s="618"/>
      <c r="F6" s="157" t="s">
        <v>194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5">
      <c r="A7" s="156"/>
      <c r="B7" s="156"/>
      <c r="C7" s="157" t="s">
        <v>113</v>
      </c>
      <c r="D7" s="155" t="s">
        <v>115</v>
      </c>
      <c r="E7" s="155" t="s">
        <v>116</v>
      </c>
      <c r="F7" s="157" t="s">
        <v>195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thickBot="1" x14ac:dyDescent="0.3">
      <c r="A8" s="191" t="s">
        <v>174</v>
      </c>
      <c r="B8" s="192" t="s">
        <v>3</v>
      </c>
      <c r="C8" s="192" t="s">
        <v>14</v>
      </c>
      <c r="D8" s="192" t="s">
        <v>4</v>
      </c>
      <c r="E8" s="192" t="s">
        <v>14</v>
      </c>
      <c r="F8" s="308" t="s">
        <v>4</v>
      </c>
      <c r="G8" s="379" t="s">
        <v>5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thickTop="1" x14ac:dyDescent="0.25">
      <c r="A9" s="159"/>
      <c r="B9" s="160"/>
      <c r="C9" s="160"/>
      <c r="D9" s="160"/>
      <c r="E9" s="160"/>
      <c r="F9" s="380"/>
      <c r="G9" s="380"/>
      <c r="H9" s="1"/>
      <c r="I9" s="1"/>
      <c r="J9" s="1"/>
      <c r="K9" s="1"/>
      <c r="L9" s="1"/>
      <c r="M9" s="66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5">
      <c r="A10" s="159" t="s">
        <v>108</v>
      </c>
      <c r="B10" s="160" t="s">
        <v>321</v>
      </c>
      <c r="C10" s="160">
        <f>12.5*53</f>
        <v>662.5</v>
      </c>
      <c r="D10" s="160">
        <v>4</v>
      </c>
      <c r="E10" s="160">
        <f>12.5*5</f>
        <v>62.5</v>
      </c>
      <c r="F10" s="160">
        <v>10</v>
      </c>
      <c r="G10" s="381" t="s">
        <v>282</v>
      </c>
      <c r="H10" s="1"/>
      <c r="I10" s="1"/>
      <c r="J10" s="1"/>
      <c r="K10" s="1"/>
      <c r="L10" s="1"/>
      <c r="M10" s="66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25">
      <c r="A11" s="159" t="s">
        <v>191</v>
      </c>
      <c r="B11" s="308"/>
      <c r="C11" s="308">
        <f>12.5*5</f>
        <v>62.5</v>
      </c>
      <c r="D11" s="308">
        <v>2</v>
      </c>
      <c r="E11" s="308">
        <f>12.5*3</f>
        <v>37.5</v>
      </c>
      <c r="F11" s="308">
        <v>5</v>
      </c>
      <c r="G11" s="381"/>
      <c r="H11" s="1"/>
      <c r="I11" s="1"/>
      <c r="J11" s="1"/>
      <c r="K11" s="1"/>
      <c r="L11" s="1"/>
      <c r="M11" s="66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25">
      <c r="A12" s="159"/>
      <c r="B12" s="402"/>
      <c r="C12" s="402"/>
      <c r="D12" s="402"/>
      <c r="E12" s="402"/>
      <c r="F12" s="402"/>
      <c r="G12" s="1"/>
      <c r="H12" s="1"/>
      <c r="I12" s="1"/>
      <c r="J12" s="1"/>
      <c r="K12" s="1"/>
      <c r="L12" s="1"/>
      <c r="M12" s="66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s="22" customFormat="1" ht="15" customHeight="1" x14ac:dyDescent="0.25">
      <c r="A13" s="410" t="s">
        <v>162</v>
      </c>
      <c r="B13" s="411"/>
      <c r="C13" s="416">
        <f>SUM(C10:C11)</f>
        <v>725</v>
      </c>
      <c r="D13" s="416">
        <f>SUM(D10:D11)</f>
        <v>6</v>
      </c>
      <c r="E13" s="416">
        <f>SUM(E10:E11)</f>
        <v>100</v>
      </c>
      <c r="F13" s="416">
        <f>SUM(F10:F11)</f>
        <v>15</v>
      </c>
      <c r="G13" s="426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7" customHeight="1" x14ac:dyDescent="0.25">
      <c r="A14" s="164"/>
      <c r="B14" s="164"/>
      <c r="C14" s="164"/>
      <c r="D14" s="160"/>
      <c r="E14" s="16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7" customHeight="1" x14ac:dyDescent="0.25">
      <c r="A15" s="26"/>
      <c r="B15" s="26"/>
      <c r="C15" s="26"/>
      <c r="D15" s="26"/>
      <c r="E15" s="13"/>
      <c r="F15" s="13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7" customHeight="1" x14ac:dyDescent="0.25">
      <c r="A16" s="1"/>
      <c r="B16" s="1"/>
      <c r="C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7" customHeight="1" x14ac:dyDescent="0.25">
      <c r="A17" s="266"/>
      <c r="B17" s="219"/>
      <c r="C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.7" customHeight="1" x14ac:dyDescent="0.3">
      <c r="A18" s="23"/>
      <c r="B18" s="23"/>
      <c r="C18" s="23"/>
      <c r="D18" s="28"/>
      <c r="E18" s="28"/>
      <c r="F18" s="28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7" customHeight="1" x14ac:dyDescent="0.25">
      <c r="A19" s="1"/>
      <c r="B19" s="1"/>
      <c r="C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/>
      <c r="B20" s="1"/>
      <c r="C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5">
      <c r="A21" s="1"/>
      <c r="B21" s="1"/>
      <c r="C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.7" customHeight="1" x14ac:dyDescent="0.25"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7" customHeight="1" x14ac:dyDescent="0.25"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.7" customHeight="1" x14ac:dyDescent="0.25"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7" customHeight="1" x14ac:dyDescent="0.25"/>
    <row r="26" spans="1:26" ht="16.7" customHeight="1" x14ac:dyDescent="0.25"/>
  </sheetData>
  <mergeCells count="2">
    <mergeCell ref="D6:E6"/>
    <mergeCell ref="A2:F2"/>
  </mergeCells>
  <conditionalFormatting sqref="A17">
    <cfRule type="duplicateValues" dxfId="21" priority="58"/>
  </conditionalFormatting>
  <pageMargins left="0.7" right="0.7" top="0.75" bottom="0.75" header="0.51180555555555496" footer="0.51180555555555496"/>
  <pageSetup firstPageNumber="0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9C8B7-F176-45EF-B155-DCF3D21F6CE6}">
  <sheetPr>
    <tabColor theme="9"/>
  </sheetPr>
  <dimension ref="A1:H14"/>
  <sheetViews>
    <sheetView showGridLines="0" zoomScale="90" zoomScaleNormal="90" zoomScaleSheetLayoutView="100" workbookViewId="0">
      <selection activeCell="A2" sqref="A2:B9"/>
    </sheetView>
  </sheetViews>
  <sheetFormatPr defaultRowHeight="12" x14ac:dyDescent="0.2"/>
  <cols>
    <col min="1" max="1" width="25.140625" style="228" customWidth="1"/>
    <col min="2" max="2" width="29.7109375" style="222" customWidth="1"/>
    <col min="3" max="3" width="9.140625" style="222"/>
    <col min="4" max="16384" width="9.140625" style="228"/>
  </cols>
  <sheetData>
    <row r="1" spans="1:8" s="222" customFormat="1" ht="15" customHeight="1" x14ac:dyDescent="0.2">
      <c r="A1" s="227"/>
    </row>
    <row r="2" spans="1:8" ht="15" customHeight="1" x14ac:dyDescent="0.2">
      <c r="A2" s="615" t="s">
        <v>158</v>
      </c>
      <c r="B2" s="615"/>
    </row>
    <row r="3" spans="1:8" ht="15" customHeight="1" x14ac:dyDescent="0.2">
      <c r="A3" s="200"/>
      <c r="B3" s="235"/>
    </row>
    <row r="4" spans="1:8" ht="15" customHeight="1" x14ac:dyDescent="0.2">
      <c r="A4" s="202"/>
      <c r="B4" s="203">
        <v>618.01</v>
      </c>
    </row>
    <row r="5" spans="1:8" s="222" customFormat="1" ht="15" customHeight="1" thickBot="1" x14ac:dyDescent="0.25">
      <c r="A5" s="191" t="s">
        <v>174</v>
      </c>
      <c r="B5" s="217" t="s">
        <v>4</v>
      </c>
      <c r="D5" s="228"/>
      <c r="E5" s="228"/>
      <c r="F5" s="228"/>
      <c r="G5" s="228"/>
      <c r="H5" s="228"/>
    </row>
    <row r="6" spans="1:8" s="222" customFormat="1" ht="15" customHeight="1" thickTop="1" x14ac:dyDescent="0.2">
      <c r="A6" s="393"/>
      <c r="B6" s="392"/>
      <c r="D6" s="228"/>
      <c r="E6" s="228"/>
      <c r="F6" s="228"/>
      <c r="G6" s="228"/>
      <c r="H6" s="228"/>
    </row>
    <row r="7" spans="1:8" s="222" customFormat="1" ht="15" customHeight="1" x14ac:dyDescent="0.2">
      <c r="A7" s="202" t="s">
        <v>322</v>
      </c>
      <c r="B7" s="408">
        <v>1</v>
      </c>
      <c r="D7" s="228"/>
      <c r="E7" s="228"/>
      <c r="F7" s="228"/>
      <c r="G7" s="228"/>
      <c r="H7" s="228"/>
    </row>
    <row r="8" spans="1:8" s="222" customFormat="1" ht="15" customHeight="1" x14ac:dyDescent="0.2">
      <c r="A8" s="214"/>
      <c r="B8" s="403"/>
      <c r="D8" s="228"/>
      <c r="E8" s="228"/>
      <c r="F8" s="228"/>
      <c r="G8" s="228"/>
      <c r="H8" s="228"/>
    </row>
    <row r="9" spans="1:8" s="222" customFormat="1" ht="15" customHeight="1" x14ac:dyDescent="0.2">
      <c r="A9" s="413" t="s">
        <v>163</v>
      </c>
      <c r="B9" s="417">
        <f>SUM(B7:B7)</f>
        <v>1</v>
      </c>
      <c r="D9" s="228"/>
      <c r="E9" s="228"/>
      <c r="F9" s="228"/>
      <c r="G9" s="228"/>
      <c r="H9" s="228"/>
    </row>
    <row r="10" spans="1:8" s="222" customFormat="1" x14ac:dyDescent="0.2">
      <c r="B10" s="244"/>
      <c r="D10" s="228"/>
      <c r="E10" s="228"/>
      <c r="F10" s="228"/>
      <c r="G10" s="228"/>
      <c r="H10" s="228"/>
    </row>
    <row r="13" spans="1:8" ht="12.75" x14ac:dyDescent="0.2">
      <c r="A13" s="345" t="s">
        <v>220</v>
      </c>
    </row>
    <row r="14" spans="1:8" ht="12.75" x14ac:dyDescent="0.2">
      <c r="A14" s="345" t="s">
        <v>221</v>
      </c>
      <c r="G14" s="266"/>
      <c r="H14" s="219"/>
    </row>
  </sheetData>
  <mergeCells count="1">
    <mergeCell ref="A2:B2"/>
  </mergeCells>
  <conditionalFormatting sqref="G14">
    <cfRule type="duplicateValues" dxfId="20" priority="2"/>
  </conditionalFormatting>
  <conditionalFormatting sqref="G14">
    <cfRule type="duplicateValues" dxfId="19" priority="3"/>
  </conditionalFormatting>
  <conditionalFormatting sqref="G14">
    <cfRule type="duplicateValues" dxfId="18" priority="4"/>
  </conditionalFormatting>
  <conditionalFormatting sqref="A13:A14">
    <cfRule type="containsText" dxfId="17" priority="1" operator="containsText" text="1-"/>
  </conditionalFormatting>
  <pageMargins left="0.75" right="0.75" top="1" bottom="1" header="0.5" footer="0.5"/>
  <pageSetup paperSize="17" scale="90" fitToHeight="4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683F6-3425-47C7-AFE9-F18CDA56D4B2}">
  <sheetPr>
    <tabColor theme="9"/>
  </sheetPr>
  <dimension ref="A1:C16"/>
  <sheetViews>
    <sheetView showGridLines="0" zoomScaleNormal="100" zoomScaleSheetLayoutView="100" workbookViewId="0">
      <selection activeCell="A2" sqref="A2:B11"/>
    </sheetView>
  </sheetViews>
  <sheetFormatPr defaultRowHeight="12" x14ac:dyDescent="0.2"/>
  <cols>
    <col min="1" max="1" width="20.7109375" style="228" customWidth="1"/>
    <col min="2" max="2" width="15.140625" style="222" customWidth="1"/>
    <col min="3" max="3" width="9.140625" style="222"/>
    <col min="4" max="16384" width="9.140625" style="228"/>
  </cols>
  <sheetData>
    <row r="1" spans="1:2" s="222" customFormat="1" ht="15" customHeight="1" x14ac:dyDescent="0.2">
      <c r="A1" s="227"/>
    </row>
    <row r="2" spans="1:2" ht="15" customHeight="1" x14ac:dyDescent="0.2">
      <c r="A2" s="615" t="s">
        <v>94</v>
      </c>
      <c r="B2" s="615"/>
    </row>
    <row r="3" spans="1:2" ht="15" customHeight="1" x14ac:dyDescent="0.2">
      <c r="A3" s="200"/>
      <c r="B3" s="235"/>
    </row>
    <row r="4" spans="1:2" ht="15" customHeight="1" x14ac:dyDescent="0.2">
      <c r="A4" s="202"/>
      <c r="B4" s="203">
        <v>619.1</v>
      </c>
    </row>
    <row r="5" spans="1:2" ht="15" customHeight="1" x14ac:dyDescent="0.2">
      <c r="A5" s="202"/>
      <c r="B5" s="211" t="s">
        <v>94</v>
      </c>
    </row>
    <row r="6" spans="1:2" ht="9" customHeight="1" x14ac:dyDescent="0.2">
      <c r="A6" s="202"/>
      <c r="B6" s="211"/>
    </row>
    <row r="7" spans="1:2" ht="15" customHeight="1" thickBot="1" x14ac:dyDescent="0.25">
      <c r="A7" s="191" t="s">
        <v>174</v>
      </c>
      <c r="B7" s="217" t="s">
        <v>4</v>
      </c>
    </row>
    <row r="8" spans="1:2" ht="15" customHeight="1" thickTop="1" x14ac:dyDescent="0.2">
      <c r="A8" s="204"/>
      <c r="B8" s="205"/>
    </row>
    <row r="9" spans="1:2" ht="15" customHeight="1" x14ac:dyDescent="0.2">
      <c r="A9" s="202" t="s">
        <v>322</v>
      </c>
      <c r="B9" s="408">
        <v>1</v>
      </c>
    </row>
    <row r="10" spans="1:2" s="228" customFormat="1" ht="15" customHeight="1" x14ac:dyDescent="0.2">
      <c r="A10" s="214"/>
      <c r="B10" s="403"/>
    </row>
    <row r="11" spans="1:2" s="228" customFormat="1" ht="15" customHeight="1" x14ac:dyDescent="0.2">
      <c r="A11" s="413" t="s">
        <v>163</v>
      </c>
      <c r="B11" s="417">
        <f>SUM(B9:B9)</f>
        <v>1</v>
      </c>
    </row>
    <row r="12" spans="1:2" s="228" customFormat="1" x14ac:dyDescent="0.2">
      <c r="A12" s="222"/>
      <c r="B12" s="244"/>
    </row>
    <row r="15" spans="1:2" s="228" customFormat="1" ht="12.75" x14ac:dyDescent="0.2">
      <c r="A15" s="345" t="s">
        <v>220</v>
      </c>
      <c r="B15" s="222"/>
    </row>
    <row r="16" spans="1:2" s="228" customFormat="1" ht="12.75" x14ac:dyDescent="0.2">
      <c r="A16" s="345" t="s">
        <v>221</v>
      </c>
      <c r="B16" s="222"/>
    </row>
  </sheetData>
  <mergeCells count="1">
    <mergeCell ref="A2:B2"/>
  </mergeCells>
  <conditionalFormatting sqref="A15:A16">
    <cfRule type="containsText" dxfId="16" priority="1" operator="containsText" text="1-"/>
  </conditionalFormatting>
  <pageMargins left="0.75" right="0.75" top="1" bottom="1" header="0.5" footer="0.5"/>
  <pageSetup paperSize="17" scale="90" fitToHeight="4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ADC52-EB4D-442E-A4DB-8BA07743FB5E}">
  <sheetPr>
    <tabColor theme="9"/>
  </sheetPr>
  <dimension ref="A1:C16"/>
  <sheetViews>
    <sheetView showGridLines="0" workbookViewId="0">
      <selection activeCell="A2" sqref="A2:B11"/>
    </sheetView>
  </sheetViews>
  <sheetFormatPr defaultRowHeight="15" x14ac:dyDescent="0.25"/>
  <cols>
    <col min="1" max="1" width="16.5703125" bestFit="1" customWidth="1"/>
    <col min="2" max="2" width="12.5703125" bestFit="1" customWidth="1"/>
  </cols>
  <sheetData>
    <row r="1" spans="1:3" x14ac:dyDescent="0.25">
      <c r="A1" s="227"/>
      <c r="B1" s="222"/>
    </row>
    <row r="2" spans="1:3" x14ac:dyDescent="0.25">
      <c r="A2" s="615" t="s">
        <v>346</v>
      </c>
      <c r="B2" s="615"/>
    </row>
    <row r="3" spans="1:3" x14ac:dyDescent="0.25">
      <c r="A3" s="200"/>
      <c r="B3" s="235"/>
    </row>
    <row r="4" spans="1:3" x14ac:dyDescent="0.25">
      <c r="A4" s="202"/>
      <c r="B4" s="203">
        <v>624.01</v>
      </c>
    </row>
    <row r="5" spans="1:3" x14ac:dyDescent="0.25">
      <c r="A5" s="202"/>
      <c r="B5" s="211" t="s">
        <v>346</v>
      </c>
    </row>
    <row r="6" spans="1:3" ht="12" customHeight="1" x14ac:dyDescent="0.25">
      <c r="A6" s="202"/>
      <c r="B6" s="211"/>
    </row>
    <row r="7" spans="1:3" ht="15.75" thickBot="1" x14ac:dyDescent="0.3">
      <c r="A7" s="191" t="s">
        <v>174</v>
      </c>
      <c r="B7" s="217" t="s">
        <v>347</v>
      </c>
    </row>
    <row r="8" spans="1:3" ht="15.75" thickTop="1" x14ac:dyDescent="0.25">
      <c r="A8" s="491"/>
      <c r="B8" s="459"/>
    </row>
    <row r="9" spans="1:3" x14ac:dyDescent="0.25">
      <c r="A9" s="202" t="s">
        <v>322</v>
      </c>
      <c r="B9" s="215">
        <f>3392*15/1000</f>
        <v>50.88</v>
      </c>
      <c r="C9" t="s">
        <v>351</v>
      </c>
    </row>
    <row r="10" spans="1:3" x14ac:dyDescent="0.25">
      <c r="A10" s="214"/>
      <c r="B10" s="459"/>
    </row>
    <row r="11" spans="1:3" x14ac:dyDescent="0.25">
      <c r="A11" s="413" t="s">
        <v>163</v>
      </c>
      <c r="B11" s="417">
        <f>SUM(B9:B9)</f>
        <v>50.88</v>
      </c>
    </row>
    <row r="12" spans="1:3" x14ac:dyDescent="0.25">
      <c r="A12" s="222"/>
      <c r="B12" s="244"/>
    </row>
    <row r="13" spans="1:3" x14ac:dyDescent="0.25">
      <c r="A13" s="228"/>
      <c r="B13" s="222"/>
    </row>
    <row r="14" spans="1:3" x14ac:dyDescent="0.25">
      <c r="A14" s="228"/>
      <c r="B14" s="222"/>
    </row>
    <row r="15" spans="1:3" x14ac:dyDescent="0.25">
      <c r="A15" s="345" t="s">
        <v>348</v>
      </c>
      <c r="B15" s="222"/>
    </row>
    <row r="16" spans="1:3" x14ac:dyDescent="0.25">
      <c r="A16" s="345" t="s">
        <v>221</v>
      </c>
      <c r="B16" s="222"/>
    </row>
  </sheetData>
  <mergeCells count="1">
    <mergeCell ref="A2:B2"/>
  </mergeCells>
  <conditionalFormatting sqref="A15:A16">
    <cfRule type="containsText" dxfId="15" priority="1" operator="containsText" text="1-"/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0AAB3-3ECC-4A93-B707-242BCE1DCCEF}">
  <sheetPr>
    <tabColor theme="9"/>
  </sheetPr>
  <dimension ref="A1:ALV80"/>
  <sheetViews>
    <sheetView showGridLines="0" zoomScale="118" zoomScaleNormal="118" workbookViewId="0">
      <selection activeCell="F23" sqref="F23"/>
    </sheetView>
  </sheetViews>
  <sheetFormatPr defaultRowHeight="18" x14ac:dyDescent="0.25"/>
  <cols>
    <col min="1" max="1" width="15.28515625" style="6" customWidth="1"/>
    <col min="2" max="2" width="20.42578125" style="6" customWidth="1"/>
    <col min="3" max="3" width="14.7109375" style="7" customWidth="1"/>
    <col min="4" max="4" width="15.28515625" style="3" customWidth="1"/>
    <col min="5" max="5" width="14.28515625" style="6" customWidth="1"/>
    <col min="6" max="6" width="14.85546875" style="6" customWidth="1"/>
    <col min="7" max="7" width="14.5703125" style="6" customWidth="1"/>
    <col min="8" max="8" width="13.42578125" style="6" customWidth="1"/>
    <col min="9" max="1010" width="8.85546875" style="6" customWidth="1"/>
  </cols>
  <sheetData>
    <row r="1" spans="1:8" ht="15" customHeight="1" x14ac:dyDescent="0.25">
      <c r="A1" s="257"/>
      <c r="B1" s="257"/>
      <c r="C1" s="211"/>
      <c r="D1" s="258"/>
      <c r="E1" s="199"/>
      <c r="F1" s="199"/>
      <c r="G1" s="199"/>
      <c r="H1" s="199"/>
    </row>
    <row r="2" spans="1:8" ht="15" customHeight="1" x14ac:dyDescent="0.25">
      <c r="A2" s="615" t="s">
        <v>188</v>
      </c>
      <c r="B2" s="615"/>
      <c r="C2" s="615"/>
      <c r="D2" s="615"/>
      <c r="E2" s="615"/>
      <c r="F2" s="615"/>
      <c r="G2" s="549"/>
      <c r="H2" s="492"/>
    </row>
    <row r="3" spans="1:8" ht="15" customHeight="1" x14ac:dyDescent="0.25">
      <c r="A3" s="202"/>
      <c r="B3" s="202"/>
      <c r="C3" s="202"/>
      <c r="D3" s="258"/>
      <c r="E3" s="199"/>
      <c r="F3" s="199"/>
      <c r="G3" s="599"/>
      <c r="H3" s="258"/>
    </row>
    <row r="4" spans="1:8" ht="15" customHeight="1" x14ac:dyDescent="0.25">
      <c r="A4" s="202"/>
      <c r="B4" s="202"/>
      <c r="C4" s="202"/>
      <c r="D4" s="261">
        <v>625.01</v>
      </c>
      <c r="E4" s="262">
        <v>627.02</v>
      </c>
      <c r="F4" s="236">
        <v>629.02049999999997</v>
      </c>
      <c r="G4" s="600">
        <v>630.01300000000003</v>
      </c>
      <c r="H4" s="262"/>
    </row>
    <row r="5" spans="1:8" ht="15" customHeight="1" x14ac:dyDescent="0.25">
      <c r="A5" s="202"/>
      <c r="B5" s="202"/>
      <c r="C5" s="202"/>
      <c r="D5" s="211"/>
      <c r="E5" s="211"/>
      <c r="F5" s="211"/>
      <c r="G5" s="494" t="s">
        <v>190</v>
      </c>
      <c r="H5" s="211"/>
    </row>
    <row r="6" spans="1:8" ht="15" customHeight="1" x14ac:dyDescent="0.25">
      <c r="A6" s="202"/>
      <c r="B6" s="202"/>
      <c r="C6" s="202"/>
      <c r="D6" s="211"/>
      <c r="E6" s="211"/>
      <c r="F6" s="211" t="s">
        <v>189</v>
      </c>
      <c r="G6" s="494" t="s">
        <v>49</v>
      </c>
      <c r="H6" s="211"/>
    </row>
    <row r="7" spans="1:8" ht="15" customHeight="1" x14ac:dyDescent="0.25">
      <c r="A7" s="210"/>
      <c r="B7" s="210"/>
      <c r="C7" s="211"/>
      <c r="D7" s="211" t="s">
        <v>51</v>
      </c>
      <c r="E7" s="211" t="s">
        <v>131</v>
      </c>
      <c r="F7" s="211" t="s">
        <v>52</v>
      </c>
      <c r="G7" s="494" t="s">
        <v>53</v>
      </c>
      <c r="H7" s="211"/>
    </row>
    <row r="8" spans="1:8" ht="15" customHeight="1" thickBot="1" x14ac:dyDescent="0.3">
      <c r="A8" s="232" t="s">
        <v>174</v>
      </c>
      <c r="B8" s="217" t="s">
        <v>2</v>
      </c>
      <c r="C8" s="217" t="s">
        <v>3</v>
      </c>
      <c r="D8" s="217" t="s">
        <v>10</v>
      </c>
      <c r="E8" s="217" t="s">
        <v>10</v>
      </c>
      <c r="F8" s="217" t="s">
        <v>54</v>
      </c>
      <c r="G8" s="495" t="s">
        <v>55</v>
      </c>
      <c r="H8" s="459"/>
    </row>
    <row r="9" spans="1:8" ht="15" customHeight="1" thickTop="1" x14ac:dyDescent="0.25">
      <c r="A9" s="204"/>
      <c r="B9" s="204"/>
      <c r="C9" s="205"/>
      <c r="D9" s="234"/>
      <c r="E9" s="234"/>
      <c r="F9" s="210"/>
      <c r="G9" s="532"/>
      <c r="H9" s="234"/>
    </row>
    <row r="10" spans="1:8" ht="15" customHeight="1" x14ac:dyDescent="0.25">
      <c r="A10" s="210" t="s">
        <v>108</v>
      </c>
      <c r="B10" s="211" t="s">
        <v>106</v>
      </c>
      <c r="C10" s="211" t="s">
        <v>7</v>
      </c>
      <c r="D10" s="212">
        <v>7</v>
      </c>
      <c r="E10" s="212">
        <f t="shared" ref="E10:E11" si="0">D10</f>
        <v>7</v>
      </c>
      <c r="F10" s="263">
        <f>(E10*9*(7/1000))/100</f>
        <v>4.4099999999999999E-3</v>
      </c>
      <c r="G10" s="601">
        <v>0.13</v>
      </c>
      <c r="H10" s="264"/>
    </row>
    <row r="11" spans="1:8" s="6" customFormat="1" ht="15" customHeight="1" x14ac:dyDescent="0.25">
      <c r="A11" s="210" t="s">
        <v>108</v>
      </c>
      <c r="B11" s="211" t="s">
        <v>107</v>
      </c>
      <c r="C11" s="211" t="s">
        <v>7</v>
      </c>
      <c r="D11" s="234">
        <v>7</v>
      </c>
      <c r="E11" s="212">
        <f t="shared" si="0"/>
        <v>7</v>
      </c>
      <c r="F11" s="263">
        <f>(E11*9*(7/1000))/100</f>
        <v>4.4099999999999999E-3</v>
      </c>
      <c r="G11" s="601">
        <v>0.13</v>
      </c>
      <c r="H11" s="264"/>
    </row>
    <row r="12" spans="1:8" s="6" customFormat="1" ht="15" customHeight="1" x14ac:dyDescent="0.25">
      <c r="A12" s="202" t="s">
        <v>191</v>
      </c>
      <c r="B12" s="211"/>
      <c r="C12" s="211"/>
      <c r="D12" s="383">
        <f>0.2*(D10+D11)</f>
        <v>2.8000000000000003</v>
      </c>
      <c r="E12" s="383">
        <f>0.2*(E10+E11)</f>
        <v>2.8000000000000003</v>
      </c>
      <c r="F12" s="456">
        <v>2E-3</v>
      </c>
      <c r="G12" s="601">
        <v>0.04</v>
      </c>
      <c r="H12" s="312"/>
    </row>
    <row r="13" spans="1:8" s="6" customFormat="1" ht="15" customHeight="1" x14ac:dyDescent="0.25">
      <c r="A13" s="214"/>
      <c r="B13" s="403"/>
      <c r="C13" s="403"/>
      <c r="D13" s="258"/>
      <c r="E13" s="259"/>
      <c r="F13" s="258"/>
      <c r="G13" s="523"/>
      <c r="H13" s="258"/>
    </row>
    <row r="14" spans="1:8" s="6" customFormat="1" ht="15" customHeight="1" x14ac:dyDescent="0.25">
      <c r="A14" s="413" t="s">
        <v>162</v>
      </c>
      <c r="B14" s="413"/>
      <c r="C14" s="414"/>
      <c r="D14" s="415">
        <f>SUM(D10:D12)</f>
        <v>16.8</v>
      </c>
      <c r="E14" s="415">
        <f>SUM(E10:E12)</f>
        <v>16.8</v>
      </c>
      <c r="F14" s="457">
        <f>ROUNDUP((F10+F11),2)</f>
        <v>0.01</v>
      </c>
      <c r="G14" s="602">
        <f>SUM(G10:G12)</f>
        <v>0.3</v>
      </c>
      <c r="H14" s="264"/>
    </row>
    <row r="15" spans="1:8" s="6" customFormat="1" ht="16.7" customHeight="1" x14ac:dyDescent="0.25">
      <c r="A15" s="199"/>
      <c r="B15" s="199"/>
      <c r="C15" s="236"/>
      <c r="D15" s="258"/>
      <c r="E15" s="259"/>
      <c r="F15" s="199"/>
      <c r="G15" s="522"/>
    </row>
    <row r="16" spans="1:8" s="6" customFormat="1" ht="16.7" customHeight="1" x14ac:dyDescent="0.25">
      <c r="A16" s="619"/>
      <c r="B16" s="619"/>
      <c r="C16" s="619"/>
      <c r="D16" s="619"/>
      <c r="E16" s="619"/>
      <c r="F16" s="619"/>
      <c r="G16" s="619"/>
    </row>
    <row r="17" spans="1:12" s="6" customFormat="1" ht="16.7" customHeight="1" x14ac:dyDescent="0.25">
      <c r="A17" s="199"/>
      <c r="B17" s="199"/>
      <c r="C17" s="236"/>
      <c r="D17" s="258"/>
      <c r="E17" s="259"/>
      <c r="F17" s="199"/>
      <c r="G17" s="199"/>
    </row>
    <row r="18" spans="1:12" s="6" customFormat="1" ht="16.7" customHeight="1" x14ac:dyDescent="0.25">
      <c r="A18" s="199"/>
      <c r="B18" s="199"/>
      <c r="C18" s="236"/>
      <c r="D18" s="258"/>
      <c r="E18" s="259"/>
      <c r="F18" s="199"/>
      <c r="G18" s="523"/>
      <c r="H18" s="603"/>
      <c r="I18" s="603"/>
      <c r="J18" s="603"/>
      <c r="K18" s="603"/>
      <c r="L18" s="603"/>
    </row>
    <row r="19" spans="1:12" s="6" customFormat="1" ht="16.7" customHeight="1" x14ac:dyDescent="0.25">
      <c r="C19" s="7"/>
      <c r="D19" s="3"/>
      <c r="E19" s="18"/>
      <c r="G19" s="603"/>
      <c r="H19" s="603"/>
      <c r="I19" s="603"/>
      <c r="J19" s="523"/>
      <c r="K19" s="603"/>
      <c r="L19" s="603"/>
    </row>
    <row r="20" spans="1:12" s="6" customFormat="1" ht="16.7" customHeight="1" x14ac:dyDescent="0.25">
      <c r="C20" s="7"/>
      <c r="D20" s="3"/>
      <c r="E20" s="18"/>
      <c r="G20" s="603"/>
      <c r="H20" s="603"/>
      <c r="I20" s="603"/>
      <c r="J20" s="604"/>
      <c r="K20" s="603"/>
      <c r="L20" s="603"/>
    </row>
    <row r="21" spans="1:12" s="6" customFormat="1" ht="16.7" customHeight="1" x14ac:dyDescent="0.25">
      <c r="C21" s="7"/>
      <c r="D21" s="3"/>
      <c r="E21" s="19"/>
      <c r="G21" s="603"/>
      <c r="H21" s="603"/>
      <c r="I21" s="603"/>
      <c r="J21" s="381"/>
      <c r="K21" s="603"/>
      <c r="L21" s="603"/>
    </row>
    <row r="22" spans="1:12" s="6" customFormat="1" ht="16.7" customHeight="1" x14ac:dyDescent="0.25">
      <c r="A22" s="60"/>
      <c r="B22" s="60"/>
      <c r="C22" s="61"/>
      <c r="D22" s="3"/>
      <c r="E22" s="19"/>
      <c r="G22" s="603"/>
      <c r="H22" s="620"/>
      <c r="I22" s="620"/>
      <c r="J22" s="381"/>
      <c r="K22" s="603"/>
      <c r="L22" s="603"/>
    </row>
    <row r="23" spans="1:12" s="6" customFormat="1" ht="16.7" customHeight="1" x14ac:dyDescent="0.25">
      <c r="A23" s="60"/>
      <c r="B23" s="60"/>
      <c r="C23" s="61"/>
      <c r="D23" s="3"/>
      <c r="E23" s="19"/>
      <c r="G23" s="603"/>
      <c r="H23" s="620"/>
      <c r="I23" s="620"/>
      <c r="J23" s="381"/>
      <c r="K23" s="603"/>
      <c r="L23" s="603"/>
    </row>
    <row r="24" spans="1:12" s="6" customFormat="1" ht="16.7" customHeight="1" x14ac:dyDescent="0.25">
      <c r="A24" s="60"/>
      <c r="B24" s="60"/>
      <c r="C24" s="61"/>
      <c r="D24" s="3"/>
      <c r="E24" s="19"/>
      <c r="G24" s="603"/>
      <c r="H24" s="603"/>
      <c r="I24" s="603"/>
      <c r="J24" s="381"/>
      <c r="K24" s="603"/>
      <c r="L24" s="603"/>
    </row>
    <row r="25" spans="1:12" s="6" customFormat="1" ht="16.7" customHeight="1" x14ac:dyDescent="0.25">
      <c r="A25" s="60"/>
      <c r="B25" s="60"/>
      <c r="C25" s="61"/>
      <c r="D25" s="3"/>
      <c r="E25" s="19"/>
      <c r="G25" s="603"/>
      <c r="H25" s="603"/>
      <c r="I25" s="603"/>
      <c r="J25" s="532"/>
      <c r="K25" s="603"/>
      <c r="L25" s="603"/>
    </row>
    <row r="26" spans="1:12" s="6" customFormat="1" ht="16.7" customHeight="1" x14ac:dyDescent="0.25">
      <c r="A26" s="60"/>
      <c r="B26" s="60"/>
      <c r="C26" s="61"/>
      <c r="D26" s="3"/>
      <c r="E26" s="19"/>
      <c r="G26" s="603"/>
      <c r="H26" s="603"/>
      <c r="I26" s="603"/>
      <c r="J26" s="601"/>
      <c r="K26" s="603"/>
      <c r="L26" s="603"/>
    </row>
    <row r="27" spans="1:12" s="6" customFormat="1" ht="16.7" customHeight="1" x14ac:dyDescent="0.25">
      <c r="A27" s="60"/>
      <c r="B27" s="60"/>
      <c r="C27" s="61"/>
      <c r="D27" s="3"/>
      <c r="E27" s="19"/>
      <c r="G27" s="603"/>
      <c r="H27" s="603"/>
      <c r="I27" s="603"/>
      <c r="J27" s="601"/>
      <c r="K27" s="603"/>
      <c r="L27" s="603"/>
    </row>
    <row r="28" spans="1:12" s="6" customFormat="1" ht="16.7" customHeight="1" x14ac:dyDescent="0.25">
      <c r="C28" s="7"/>
      <c r="D28" s="3"/>
      <c r="G28" s="603"/>
      <c r="H28" s="603"/>
      <c r="I28" s="603"/>
      <c r="J28" s="601"/>
      <c r="K28" s="603"/>
      <c r="L28" s="603"/>
    </row>
    <row r="29" spans="1:12" s="6" customFormat="1" ht="16.7" customHeight="1" x14ac:dyDescent="0.25">
      <c r="C29" s="7"/>
      <c r="D29" s="3"/>
      <c r="G29" s="603"/>
      <c r="H29" s="603"/>
      <c r="I29" s="603"/>
      <c r="J29" s="523"/>
      <c r="K29" s="603"/>
      <c r="L29" s="603"/>
    </row>
    <row r="30" spans="1:12" s="6" customFormat="1" ht="16.899999999999999" customHeight="1" x14ac:dyDescent="0.25">
      <c r="C30" s="7"/>
      <c r="D30" s="3"/>
      <c r="G30" s="603"/>
      <c r="H30" s="603"/>
      <c r="I30" s="603"/>
      <c r="J30" s="601"/>
      <c r="K30" s="603"/>
      <c r="L30" s="603"/>
    </row>
    <row r="31" spans="1:12" s="6" customFormat="1" ht="16.899999999999999" customHeight="1" x14ac:dyDescent="0.25">
      <c r="C31" s="7"/>
      <c r="D31" s="3"/>
      <c r="G31" s="603"/>
      <c r="H31" s="603"/>
      <c r="I31" s="603"/>
      <c r="J31" s="603"/>
      <c r="K31" s="603"/>
      <c r="L31" s="603"/>
    </row>
    <row r="32" spans="1:12" s="6" customFormat="1" ht="16.899999999999999" customHeight="1" x14ac:dyDescent="0.25">
      <c r="C32" s="7"/>
      <c r="D32" s="3"/>
    </row>
    <row r="33" spans="3:4" s="6" customFormat="1" ht="16.899999999999999" customHeight="1" x14ac:dyDescent="0.25">
      <c r="C33" s="7"/>
      <c r="D33" s="3"/>
    </row>
    <row r="34" spans="3:4" s="6" customFormat="1" ht="16.899999999999999" customHeight="1" x14ac:dyDescent="0.25">
      <c r="C34" s="7"/>
      <c r="D34" s="3"/>
    </row>
    <row r="35" spans="3:4" s="6" customFormat="1" ht="16.899999999999999" customHeight="1" x14ac:dyDescent="0.25">
      <c r="C35" s="7"/>
      <c r="D35" s="3"/>
    </row>
    <row r="36" spans="3:4" s="6" customFormat="1" ht="16.899999999999999" customHeight="1" x14ac:dyDescent="0.25">
      <c r="C36" s="7"/>
      <c r="D36" s="3"/>
    </row>
    <row r="37" spans="3:4" s="6" customFormat="1" ht="16.899999999999999" customHeight="1" x14ac:dyDescent="0.25">
      <c r="C37" s="7"/>
      <c r="D37" s="3"/>
    </row>
    <row r="38" spans="3:4" s="6" customFormat="1" ht="16.899999999999999" customHeight="1" x14ac:dyDescent="0.25">
      <c r="C38" s="7"/>
      <c r="D38" s="3"/>
    </row>
    <row r="39" spans="3:4" s="6" customFormat="1" ht="16.899999999999999" customHeight="1" x14ac:dyDescent="0.25">
      <c r="C39" s="7"/>
      <c r="D39" s="3"/>
    </row>
    <row r="40" spans="3:4" s="6" customFormat="1" ht="16.899999999999999" customHeight="1" x14ac:dyDescent="0.25">
      <c r="C40" s="7"/>
      <c r="D40" s="3"/>
    </row>
    <row r="41" spans="3:4" s="6" customFormat="1" ht="16.899999999999999" customHeight="1" x14ac:dyDescent="0.25">
      <c r="C41" s="7"/>
      <c r="D41" s="3"/>
    </row>
    <row r="42" spans="3:4" s="6" customFormat="1" ht="16.899999999999999" customHeight="1" x14ac:dyDescent="0.25">
      <c r="C42" s="7"/>
      <c r="D42" s="3"/>
    </row>
    <row r="43" spans="3:4" s="6" customFormat="1" ht="16.899999999999999" customHeight="1" x14ac:dyDescent="0.25">
      <c r="C43" s="7"/>
      <c r="D43" s="3"/>
    </row>
    <row r="44" spans="3:4" s="6" customFormat="1" ht="16.899999999999999" customHeight="1" x14ac:dyDescent="0.25">
      <c r="C44" s="7"/>
      <c r="D44" s="3"/>
    </row>
    <row r="45" spans="3:4" s="6" customFormat="1" ht="16.899999999999999" customHeight="1" x14ac:dyDescent="0.25">
      <c r="C45" s="7"/>
      <c r="D45" s="3"/>
    </row>
    <row r="46" spans="3:4" s="6" customFormat="1" ht="16.899999999999999" customHeight="1" x14ac:dyDescent="0.25">
      <c r="C46" s="7"/>
      <c r="D46" s="3"/>
    </row>
    <row r="47" spans="3:4" s="6" customFormat="1" ht="16.899999999999999" customHeight="1" x14ac:dyDescent="0.25">
      <c r="C47" s="7"/>
      <c r="D47" s="3"/>
    </row>
    <row r="48" spans="3:4" s="6" customFormat="1" ht="16.899999999999999" customHeight="1" x14ac:dyDescent="0.25">
      <c r="C48" s="7"/>
      <c r="D48" s="3"/>
    </row>
    <row r="49" spans="3:4" s="6" customFormat="1" ht="16.899999999999999" customHeight="1" x14ac:dyDescent="0.25">
      <c r="C49" s="7"/>
      <c r="D49" s="3"/>
    </row>
    <row r="50" spans="3:4" s="6" customFormat="1" ht="16.899999999999999" customHeight="1" x14ac:dyDescent="0.25">
      <c r="C50" s="7"/>
      <c r="D50" s="3"/>
    </row>
    <row r="51" spans="3:4" s="6" customFormat="1" ht="16.899999999999999" customHeight="1" x14ac:dyDescent="0.25">
      <c r="C51" s="7"/>
      <c r="D51" s="3"/>
    </row>
    <row r="52" spans="3:4" s="6" customFormat="1" ht="16.899999999999999" customHeight="1" x14ac:dyDescent="0.25">
      <c r="C52" s="7"/>
      <c r="D52" s="3"/>
    </row>
    <row r="53" spans="3:4" s="6" customFormat="1" ht="16.899999999999999" customHeight="1" x14ac:dyDescent="0.25">
      <c r="C53" s="7"/>
      <c r="D53" s="3"/>
    </row>
    <row r="54" spans="3:4" s="6" customFormat="1" ht="16.899999999999999" customHeight="1" x14ac:dyDescent="0.25">
      <c r="C54" s="7"/>
      <c r="D54" s="3"/>
    </row>
    <row r="55" spans="3:4" s="6" customFormat="1" ht="16.899999999999999" customHeight="1" x14ac:dyDescent="0.25">
      <c r="C55" s="7"/>
      <c r="D55" s="3"/>
    </row>
    <row r="56" spans="3:4" s="6" customFormat="1" ht="16.899999999999999" customHeight="1" x14ac:dyDescent="0.25">
      <c r="C56" s="7"/>
      <c r="D56" s="3"/>
    </row>
    <row r="57" spans="3:4" s="6" customFormat="1" ht="16.899999999999999" customHeight="1" x14ac:dyDescent="0.25">
      <c r="C57" s="7"/>
      <c r="D57" s="3"/>
    </row>
    <row r="58" spans="3:4" s="6" customFormat="1" ht="16.899999999999999" customHeight="1" x14ac:dyDescent="0.25">
      <c r="C58" s="7"/>
      <c r="D58" s="3"/>
    </row>
    <row r="59" spans="3:4" s="6" customFormat="1" ht="16.899999999999999" customHeight="1" x14ac:dyDescent="0.25">
      <c r="C59" s="7"/>
      <c r="D59" s="3"/>
    </row>
    <row r="60" spans="3:4" s="6" customFormat="1" ht="16.899999999999999" customHeight="1" x14ac:dyDescent="0.25">
      <c r="C60" s="7"/>
      <c r="D60" s="3"/>
    </row>
    <row r="61" spans="3:4" s="6" customFormat="1" ht="16.899999999999999" customHeight="1" x14ac:dyDescent="0.25">
      <c r="C61" s="7"/>
      <c r="D61" s="3"/>
    </row>
    <row r="62" spans="3:4" s="6" customFormat="1" ht="16.899999999999999" customHeight="1" x14ac:dyDescent="0.25">
      <c r="C62" s="7"/>
      <c r="D62" s="3"/>
    </row>
    <row r="63" spans="3:4" s="6" customFormat="1" ht="16.899999999999999" customHeight="1" x14ac:dyDescent="0.25">
      <c r="C63" s="7"/>
      <c r="D63" s="3"/>
    </row>
    <row r="64" spans="3:4" s="6" customFormat="1" ht="16.899999999999999" customHeight="1" x14ac:dyDescent="0.25">
      <c r="C64" s="7"/>
      <c r="D64" s="3"/>
    </row>
    <row r="65" spans="3:4" s="6" customFormat="1" ht="16.899999999999999" customHeight="1" x14ac:dyDescent="0.25">
      <c r="C65" s="7"/>
      <c r="D65" s="3"/>
    </row>
    <row r="66" spans="3:4" s="6" customFormat="1" ht="16.899999999999999" customHeight="1" x14ac:dyDescent="0.25">
      <c r="C66" s="7"/>
      <c r="D66" s="3"/>
    </row>
    <row r="67" spans="3:4" s="6" customFormat="1" ht="16.899999999999999" customHeight="1" x14ac:dyDescent="0.25">
      <c r="C67" s="7"/>
      <c r="D67" s="3"/>
    </row>
    <row r="68" spans="3:4" s="6" customFormat="1" ht="16.899999999999999" customHeight="1" x14ac:dyDescent="0.25">
      <c r="C68" s="7"/>
      <c r="D68" s="3"/>
    </row>
    <row r="69" spans="3:4" s="6" customFormat="1" ht="16.899999999999999" customHeight="1" x14ac:dyDescent="0.25">
      <c r="C69" s="7"/>
      <c r="D69" s="3"/>
    </row>
    <row r="70" spans="3:4" s="6" customFormat="1" ht="16.899999999999999" customHeight="1" x14ac:dyDescent="0.25">
      <c r="C70" s="7"/>
      <c r="D70" s="3"/>
    </row>
    <row r="71" spans="3:4" s="6" customFormat="1" ht="16.899999999999999" customHeight="1" x14ac:dyDescent="0.25">
      <c r="C71" s="7"/>
      <c r="D71" s="3"/>
    </row>
    <row r="72" spans="3:4" s="6" customFormat="1" ht="16.899999999999999" customHeight="1" x14ac:dyDescent="0.25">
      <c r="C72" s="7"/>
      <c r="D72" s="3"/>
    </row>
    <row r="73" spans="3:4" s="6" customFormat="1" ht="16.899999999999999" customHeight="1" x14ac:dyDescent="0.25">
      <c r="C73" s="7"/>
      <c r="D73" s="3"/>
    </row>
    <row r="74" spans="3:4" s="6" customFormat="1" ht="16.899999999999999" customHeight="1" x14ac:dyDescent="0.25">
      <c r="C74" s="7"/>
      <c r="D74" s="3"/>
    </row>
    <row r="75" spans="3:4" s="6" customFormat="1" ht="16.899999999999999" customHeight="1" x14ac:dyDescent="0.25">
      <c r="C75" s="7"/>
      <c r="D75" s="3"/>
    </row>
    <row r="76" spans="3:4" s="6" customFormat="1" ht="16.899999999999999" customHeight="1" x14ac:dyDescent="0.25">
      <c r="C76" s="7"/>
      <c r="D76" s="3"/>
    </row>
    <row r="77" spans="3:4" s="6" customFormat="1" ht="16.899999999999999" customHeight="1" x14ac:dyDescent="0.25">
      <c r="C77" s="7"/>
      <c r="D77" s="3"/>
    </row>
    <row r="78" spans="3:4" s="6" customFormat="1" ht="16.899999999999999" customHeight="1" x14ac:dyDescent="0.25">
      <c r="C78" s="7"/>
      <c r="D78" s="3"/>
    </row>
    <row r="79" spans="3:4" s="6" customFormat="1" ht="16.899999999999999" customHeight="1" x14ac:dyDescent="0.25">
      <c r="C79" s="7"/>
      <c r="D79" s="3"/>
    </row>
    <row r="80" spans="3:4" s="6" customFormat="1" ht="16.899999999999999" customHeight="1" x14ac:dyDescent="0.25">
      <c r="C80" s="7"/>
      <c r="D80" s="3"/>
    </row>
  </sheetData>
  <mergeCells count="3">
    <mergeCell ref="A16:G16"/>
    <mergeCell ref="A2:F2"/>
    <mergeCell ref="H22:I23"/>
  </mergeCells>
  <pageMargins left="0.7" right="0.7" top="0.75" bottom="0.75" header="0.51180555555555496" footer="0.51180555555555496"/>
  <pageSetup firstPageNumber="0" orientation="portrait" horizontalDpi="300" verticalDpi="300"/>
  <ignoredErrors>
    <ignoredError sqref="F14" 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/>
  </sheetPr>
  <dimension ref="A1:CM34"/>
  <sheetViews>
    <sheetView showGridLines="0" zoomScaleNormal="100" workbookViewId="0">
      <selection activeCell="A2" sqref="A2:H14"/>
    </sheetView>
  </sheetViews>
  <sheetFormatPr defaultRowHeight="15" x14ac:dyDescent="0.25"/>
  <cols>
    <col min="1" max="1" width="10.7109375" customWidth="1"/>
    <col min="2" max="2" width="18.7109375" customWidth="1"/>
    <col min="3" max="3" width="13.85546875" customWidth="1"/>
    <col min="4" max="4" width="15.42578125" customWidth="1"/>
    <col min="5" max="5" width="13.85546875" customWidth="1"/>
    <col min="6" max="7" width="15.85546875" customWidth="1"/>
    <col min="8" max="8" width="14.28515625" customWidth="1"/>
    <col min="9" max="9" width="17" style="1" customWidth="1"/>
    <col min="10" max="10" width="17.42578125" style="1" customWidth="1"/>
    <col min="11" max="11" width="19.140625" style="1" customWidth="1"/>
    <col min="12" max="12" width="38.7109375" style="1" customWidth="1"/>
    <col min="13" max="91" width="9.140625" style="1" customWidth="1"/>
    <col min="92" max="1025" width="9.140625" customWidth="1"/>
  </cols>
  <sheetData>
    <row r="1" spans="1:91" ht="15" customHeight="1" x14ac:dyDescent="0.25">
      <c r="A1" s="62"/>
      <c r="B1" s="62"/>
      <c r="C1" s="62"/>
      <c r="D1" s="62"/>
      <c r="E1" s="62"/>
      <c r="F1" s="62"/>
      <c r="G1" s="62"/>
      <c r="H1" s="62"/>
    </row>
    <row r="2" spans="1:91" ht="15" customHeight="1" x14ac:dyDescent="0.25">
      <c r="A2" s="615" t="s">
        <v>56</v>
      </c>
      <c r="B2" s="615"/>
      <c r="C2" s="615"/>
      <c r="D2" s="615"/>
      <c r="E2" s="615"/>
      <c r="F2" s="615"/>
      <c r="G2" s="615"/>
      <c r="H2" s="615"/>
    </row>
    <row r="3" spans="1:91" ht="15" customHeight="1" x14ac:dyDescent="0.3">
      <c r="A3" s="174"/>
      <c r="B3" s="174"/>
      <c r="C3" s="174"/>
      <c r="D3" s="160"/>
      <c r="E3" s="155"/>
      <c r="F3" s="174"/>
      <c r="G3" s="174"/>
      <c r="H3" s="174"/>
      <c r="K3" s="23"/>
    </row>
    <row r="4" spans="1:91" ht="15" customHeight="1" x14ac:dyDescent="0.3">
      <c r="A4" s="156"/>
      <c r="B4" s="156"/>
      <c r="C4" s="156"/>
      <c r="D4" s="155">
        <v>628.11040000000003</v>
      </c>
      <c r="E4" s="155">
        <v>628.15039999999999</v>
      </c>
      <c r="F4" s="155">
        <v>628.15200000000004</v>
      </c>
      <c r="G4" s="155">
        <v>628.20039999999995</v>
      </c>
      <c r="H4" s="155">
        <v>628.75549999999998</v>
      </c>
      <c r="K4" s="23"/>
    </row>
    <row r="5" spans="1:91" ht="15" customHeight="1" x14ac:dyDescent="0.3">
      <c r="A5" s="156"/>
      <c r="B5" s="156"/>
      <c r="C5" s="156"/>
      <c r="D5" s="157"/>
      <c r="E5" s="155"/>
      <c r="F5" s="155" t="s">
        <v>57</v>
      </c>
      <c r="G5" s="155" t="s">
        <v>200</v>
      </c>
      <c r="H5" s="155" t="s">
        <v>58</v>
      </c>
      <c r="K5" s="23"/>
    </row>
    <row r="6" spans="1:91" ht="15" customHeight="1" x14ac:dyDescent="0.3">
      <c r="A6" s="156"/>
      <c r="B6" s="156"/>
      <c r="C6" s="156"/>
      <c r="D6" s="157" t="s">
        <v>198</v>
      </c>
      <c r="E6" s="155" t="s">
        <v>57</v>
      </c>
      <c r="F6" s="155" t="s">
        <v>59</v>
      </c>
      <c r="G6" s="155" t="s">
        <v>201</v>
      </c>
      <c r="H6" s="155" t="s">
        <v>60</v>
      </c>
      <c r="J6" s="178"/>
      <c r="K6" s="23"/>
    </row>
    <row r="7" spans="1:91" ht="15" customHeight="1" x14ac:dyDescent="0.25">
      <c r="A7" s="156"/>
      <c r="B7" s="156"/>
      <c r="C7" s="156"/>
      <c r="D7" s="157" t="s">
        <v>199</v>
      </c>
      <c r="E7" s="155" t="s">
        <v>59</v>
      </c>
      <c r="F7" s="157" t="s">
        <v>61</v>
      </c>
      <c r="G7" s="155" t="s">
        <v>202</v>
      </c>
      <c r="H7" s="155" t="s">
        <v>62</v>
      </c>
      <c r="K7" s="178"/>
      <c r="L7" s="178"/>
    </row>
    <row r="8" spans="1:91" ht="15" customHeight="1" thickBot="1" x14ac:dyDescent="0.35">
      <c r="A8" s="191" t="s">
        <v>174</v>
      </c>
      <c r="B8" s="192" t="s">
        <v>2</v>
      </c>
      <c r="C8" s="192" t="s">
        <v>3</v>
      </c>
      <c r="D8" s="192" t="s">
        <v>4</v>
      </c>
      <c r="E8" s="192" t="s">
        <v>14</v>
      </c>
      <c r="F8" s="192" t="s">
        <v>14</v>
      </c>
      <c r="G8" s="192" t="s">
        <v>10</v>
      </c>
      <c r="H8" s="192" t="s">
        <v>4</v>
      </c>
      <c r="K8" s="23"/>
    </row>
    <row r="9" spans="1:91" ht="15" customHeight="1" thickTop="1" x14ac:dyDescent="0.3">
      <c r="A9" s="159"/>
      <c r="B9" s="159"/>
      <c r="C9" s="159"/>
      <c r="D9" s="160"/>
      <c r="E9" s="160"/>
      <c r="F9" s="160"/>
      <c r="G9" s="160"/>
      <c r="H9" s="160"/>
      <c r="K9" s="23"/>
    </row>
    <row r="10" spans="1:91" ht="15" customHeight="1" x14ac:dyDescent="0.25">
      <c r="A10" s="159" t="s">
        <v>108</v>
      </c>
      <c r="B10" s="211" t="s">
        <v>106</v>
      </c>
      <c r="C10" s="160" t="s">
        <v>7</v>
      </c>
      <c r="D10" s="553" t="s">
        <v>369</v>
      </c>
      <c r="E10" s="554" t="s">
        <v>369</v>
      </c>
      <c r="F10" s="554" t="s">
        <v>369</v>
      </c>
      <c r="G10" s="168">
        <v>11</v>
      </c>
      <c r="H10" s="168">
        <v>10</v>
      </c>
      <c r="J10" s="15"/>
      <c r="K10" s="179"/>
      <c r="L10" s="3"/>
    </row>
    <row r="11" spans="1:91" ht="15" customHeight="1" x14ac:dyDescent="0.25">
      <c r="A11" s="159" t="s">
        <v>108</v>
      </c>
      <c r="B11" s="211" t="s">
        <v>107</v>
      </c>
      <c r="C11" s="407" t="s">
        <v>7</v>
      </c>
      <c r="D11" s="553" t="s">
        <v>369</v>
      </c>
      <c r="E11" s="554" t="s">
        <v>369</v>
      </c>
      <c r="F11" s="554" t="s">
        <v>369</v>
      </c>
      <c r="G11" s="554">
        <v>11</v>
      </c>
      <c r="H11" s="554">
        <v>10</v>
      </c>
      <c r="J11" s="15"/>
      <c r="K11" s="181"/>
      <c r="L11" s="3"/>
    </row>
    <row r="12" spans="1:91" ht="15" customHeight="1" x14ac:dyDescent="0.25">
      <c r="A12" s="159" t="s">
        <v>191</v>
      </c>
      <c r="B12" s="407"/>
      <c r="C12" s="407"/>
      <c r="D12" s="407">
        <v>20</v>
      </c>
      <c r="E12" s="168">
        <v>100</v>
      </c>
      <c r="F12" s="168">
        <v>100</v>
      </c>
      <c r="G12" s="168">
        <v>5</v>
      </c>
      <c r="H12" s="168">
        <v>4</v>
      </c>
      <c r="J12" s="15"/>
      <c r="K12" s="181"/>
      <c r="L12" s="3"/>
    </row>
    <row r="13" spans="1:91" s="22" customFormat="1" ht="15" customHeight="1" x14ac:dyDescent="0.3">
      <c r="A13" s="401"/>
      <c r="B13" s="401"/>
      <c r="C13" s="402"/>
      <c r="D13" s="402"/>
      <c r="E13" s="402"/>
      <c r="F13" s="402"/>
      <c r="G13" s="402"/>
      <c r="H13" s="402"/>
      <c r="I13" s="1"/>
      <c r="J13" s="1"/>
      <c r="K13" s="23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</row>
    <row r="14" spans="1:91" ht="15" customHeight="1" x14ac:dyDescent="0.3">
      <c r="A14" s="410" t="s">
        <v>162</v>
      </c>
      <c r="B14" s="410"/>
      <c r="C14" s="411"/>
      <c r="D14" s="416">
        <f>SUM(D12:D13)</f>
        <v>20</v>
      </c>
      <c r="E14" s="416">
        <f>SUM(E12:E13)</f>
        <v>100</v>
      </c>
      <c r="F14" s="416">
        <f>SUM(F12)</f>
        <v>100</v>
      </c>
      <c r="G14" s="416">
        <f>SUM(G10:G12)</f>
        <v>27</v>
      </c>
      <c r="H14" s="416">
        <f>SUM(H10:H12)</f>
        <v>24</v>
      </c>
      <c r="K14" s="23"/>
    </row>
    <row r="15" spans="1:91" ht="15" customHeight="1" x14ac:dyDescent="0.3">
      <c r="A15" s="164"/>
      <c r="B15" s="164"/>
      <c r="C15" s="164"/>
      <c r="D15" s="272"/>
      <c r="E15" s="164"/>
      <c r="F15" s="164"/>
      <c r="G15" s="164"/>
      <c r="H15" s="164"/>
      <c r="K15" s="23"/>
    </row>
    <row r="16" spans="1:91" ht="15" customHeight="1" x14ac:dyDescent="0.3">
      <c r="A16" s="621"/>
      <c r="B16" s="621"/>
      <c r="C16" s="621"/>
      <c r="D16" s="621"/>
      <c r="E16" s="621"/>
      <c r="F16" s="621"/>
      <c r="G16" s="273"/>
      <c r="H16" s="195"/>
      <c r="K16" s="23"/>
    </row>
    <row r="17" spans="1:27" ht="16.7" customHeight="1" x14ac:dyDescent="0.3">
      <c r="A17" s="256"/>
      <c r="B17" s="256"/>
      <c r="C17" s="160"/>
      <c r="D17" s="160"/>
      <c r="E17" s="168"/>
      <c r="F17" s="168"/>
      <c r="G17" s="168"/>
      <c r="H17" s="195"/>
      <c r="K17" s="23"/>
    </row>
    <row r="18" spans="1:27" s="1" customFormat="1" ht="16.7" customHeight="1" x14ac:dyDescent="0.3">
      <c r="K18" s="23"/>
    </row>
    <row r="19" spans="1:27" ht="16.7" customHeight="1" x14ac:dyDescent="0.3">
      <c r="H19" s="1"/>
      <c r="K19" s="23"/>
    </row>
    <row r="20" spans="1:27" ht="16.7" customHeight="1" x14ac:dyDescent="0.3">
      <c r="H20" s="1"/>
      <c r="I20" s="274"/>
      <c r="J20" s="219"/>
      <c r="K20" s="23"/>
    </row>
    <row r="21" spans="1:27" ht="16.7" customHeight="1" x14ac:dyDescent="0.3">
      <c r="H21" s="1"/>
      <c r="J21" s="48"/>
      <c r="K21" s="23"/>
    </row>
    <row r="22" spans="1:27" ht="16.7" customHeight="1" x14ac:dyDescent="0.3">
      <c r="F22" s="28"/>
      <c r="G22" s="28"/>
      <c r="H22" s="28"/>
    </row>
    <row r="23" spans="1:27" ht="16.7" customHeight="1" x14ac:dyDescent="0.3">
      <c r="A23" s="28"/>
      <c r="B23" s="28"/>
      <c r="C23" s="28"/>
      <c r="D23" s="28"/>
      <c r="E23" s="28"/>
      <c r="F23" s="267"/>
      <c r="G23" s="267"/>
      <c r="H23" s="267"/>
      <c r="I23" s="269"/>
      <c r="J23" s="268"/>
      <c r="K23" s="268"/>
      <c r="L23" s="269"/>
      <c r="M23" s="269"/>
      <c r="N23" s="269"/>
      <c r="O23" s="269"/>
      <c r="P23" s="269"/>
      <c r="Q23" s="269"/>
      <c r="R23" s="269"/>
      <c r="S23" s="269"/>
      <c r="T23" s="269"/>
      <c r="U23" s="269"/>
      <c r="V23" s="269"/>
      <c r="W23" s="269"/>
      <c r="X23" s="269"/>
      <c r="Y23" s="269"/>
      <c r="Z23" s="269"/>
      <c r="AA23" s="269"/>
    </row>
    <row r="24" spans="1:27" ht="16.7" customHeight="1" x14ac:dyDescent="0.3">
      <c r="A24" s="28"/>
      <c r="B24" s="28"/>
      <c r="C24" s="28"/>
      <c r="D24" s="28"/>
      <c r="E24" s="28"/>
      <c r="F24" s="267"/>
      <c r="G24" s="267"/>
      <c r="H24" s="267"/>
      <c r="I24" s="268"/>
      <c r="J24" s="268"/>
      <c r="K24" s="268"/>
      <c r="L24" s="269"/>
      <c r="M24" s="269"/>
      <c r="N24" s="269"/>
      <c r="O24" s="269"/>
      <c r="P24" s="269"/>
      <c r="Q24" s="269"/>
      <c r="R24" s="269"/>
      <c r="S24" s="269"/>
      <c r="T24" s="269"/>
      <c r="U24" s="269"/>
      <c r="V24" s="269"/>
      <c r="W24" s="269"/>
      <c r="X24" s="269"/>
      <c r="Y24" s="269"/>
      <c r="Z24" s="269"/>
      <c r="AA24" s="269"/>
    </row>
    <row r="25" spans="1:27" ht="16.7" customHeight="1" x14ac:dyDescent="0.25">
      <c r="F25" s="270"/>
      <c r="G25" s="270"/>
      <c r="H25" s="270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9"/>
      <c r="T25" s="269"/>
      <c r="U25" s="269"/>
      <c r="V25" s="269"/>
      <c r="W25" s="269"/>
      <c r="X25" s="269"/>
      <c r="Y25" s="269"/>
      <c r="Z25" s="269"/>
      <c r="AA25" s="269"/>
    </row>
    <row r="26" spans="1:27" ht="16.7" customHeight="1" x14ac:dyDescent="0.25">
      <c r="F26" s="270"/>
      <c r="G26" s="270"/>
      <c r="H26" s="270"/>
      <c r="I26" s="269"/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69"/>
      <c r="X26" s="269"/>
      <c r="Y26" s="269"/>
      <c r="Z26" s="269"/>
      <c r="AA26" s="269"/>
    </row>
    <row r="27" spans="1:27" ht="18.75" x14ac:dyDescent="0.3">
      <c r="F27" s="270"/>
      <c r="G27" s="270"/>
      <c r="H27" s="270"/>
      <c r="I27" s="268"/>
      <c r="J27" s="268"/>
      <c r="K27" s="268"/>
      <c r="L27" s="268"/>
      <c r="M27" s="269"/>
      <c r="N27" s="269"/>
      <c r="O27" s="269"/>
      <c r="P27" s="269"/>
      <c r="Q27" s="269"/>
      <c r="R27" s="269"/>
      <c r="S27" s="269"/>
      <c r="T27" s="269"/>
      <c r="U27" s="269"/>
      <c r="V27" s="269"/>
      <c r="W27" s="269"/>
      <c r="X27" s="269"/>
      <c r="Y27" s="269"/>
      <c r="Z27" s="269"/>
      <c r="AA27" s="269"/>
    </row>
    <row r="28" spans="1:27" x14ac:dyDescent="0.25">
      <c r="F28" s="270"/>
      <c r="G28" s="270"/>
      <c r="H28" s="270"/>
      <c r="I28" s="269"/>
      <c r="J28" s="269"/>
      <c r="K28" s="269"/>
      <c r="L28" s="269"/>
      <c r="M28" s="269"/>
      <c r="N28" s="269"/>
      <c r="O28" s="269"/>
      <c r="P28" s="269"/>
      <c r="Q28" s="269"/>
      <c r="R28" s="269"/>
      <c r="S28" s="269"/>
      <c r="T28" s="269"/>
      <c r="U28" s="269"/>
      <c r="V28" s="269"/>
      <c r="W28" s="269"/>
      <c r="X28" s="269"/>
      <c r="Y28" s="269"/>
      <c r="Z28" s="269"/>
      <c r="AA28" s="269"/>
    </row>
    <row r="29" spans="1:27" x14ac:dyDescent="0.25">
      <c r="F29" s="270"/>
      <c r="G29" s="270"/>
      <c r="H29" s="270"/>
      <c r="I29" s="269"/>
      <c r="J29" s="269"/>
      <c r="K29" s="269"/>
      <c r="L29" s="269"/>
      <c r="M29" s="269"/>
      <c r="N29" s="269"/>
      <c r="O29" s="269"/>
      <c r="P29" s="269"/>
      <c r="Q29" s="269"/>
      <c r="R29" s="269"/>
      <c r="S29" s="269"/>
      <c r="T29" s="269"/>
      <c r="U29" s="269"/>
      <c r="V29" s="269"/>
      <c r="W29" s="269"/>
      <c r="X29" s="269"/>
      <c r="Y29" s="269"/>
      <c r="Z29" s="269"/>
      <c r="AA29" s="269"/>
    </row>
    <row r="30" spans="1:27" x14ac:dyDescent="0.25">
      <c r="F30" s="270"/>
      <c r="G30" s="270"/>
      <c r="H30" s="270"/>
      <c r="I30" s="269"/>
      <c r="J30" s="269"/>
      <c r="K30" s="269"/>
      <c r="L30" s="269"/>
      <c r="M30" s="269"/>
      <c r="N30" s="269"/>
      <c r="O30" s="269"/>
      <c r="P30" s="269"/>
      <c r="Q30" s="269"/>
      <c r="R30" s="269"/>
      <c r="S30" s="269"/>
      <c r="T30" s="269"/>
      <c r="U30" s="269"/>
      <c r="V30" s="269"/>
      <c r="W30" s="269"/>
      <c r="X30" s="269"/>
      <c r="Y30" s="269"/>
      <c r="Z30" s="269"/>
      <c r="AA30" s="269"/>
    </row>
    <row r="31" spans="1:27" x14ac:dyDescent="0.25">
      <c r="F31" s="270"/>
      <c r="G31" s="270"/>
      <c r="H31" s="270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9"/>
      <c r="T31" s="269"/>
      <c r="U31" s="269"/>
      <c r="V31" s="269"/>
      <c r="W31" s="269"/>
      <c r="X31" s="269"/>
      <c r="Y31" s="269"/>
      <c r="Z31" s="269"/>
      <c r="AA31" s="269"/>
    </row>
    <row r="32" spans="1:27" x14ac:dyDescent="0.25">
      <c r="F32" s="270"/>
      <c r="G32" s="270"/>
      <c r="H32" s="270"/>
      <c r="I32" s="269"/>
      <c r="J32" s="269"/>
      <c r="K32" s="269"/>
      <c r="L32" s="269"/>
      <c r="M32" s="269"/>
      <c r="N32" s="269"/>
      <c r="O32" s="269"/>
      <c r="P32" s="269"/>
      <c r="Q32" s="269"/>
      <c r="R32" s="269"/>
      <c r="S32" s="269"/>
      <c r="T32" s="269"/>
      <c r="U32" s="269"/>
      <c r="V32" s="269"/>
      <c r="W32" s="269"/>
      <c r="X32" s="269"/>
      <c r="Y32" s="269"/>
      <c r="Z32" s="269"/>
      <c r="AA32" s="269"/>
    </row>
    <row r="33" spans="6:27" x14ac:dyDescent="0.25">
      <c r="F33" s="270"/>
      <c r="G33" s="270"/>
      <c r="H33" s="270"/>
      <c r="I33" s="269"/>
      <c r="J33" s="269"/>
      <c r="K33" s="269"/>
      <c r="L33" s="269"/>
      <c r="M33" s="269"/>
      <c r="N33" s="269"/>
      <c r="O33" s="269"/>
      <c r="P33" s="269"/>
      <c r="Q33" s="269"/>
      <c r="R33" s="269"/>
      <c r="S33" s="269"/>
      <c r="T33" s="269"/>
      <c r="U33" s="269"/>
      <c r="V33" s="269"/>
      <c r="W33" s="269"/>
      <c r="X33" s="269"/>
      <c r="Y33" s="269"/>
      <c r="Z33" s="269"/>
      <c r="AA33" s="269"/>
    </row>
    <row r="34" spans="6:27" x14ac:dyDescent="0.25">
      <c r="F34" s="270"/>
      <c r="G34" s="270"/>
      <c r="H34" s="270"/>
      <c r="I34" s="269"/>
      <c r="J34" s="269"/>
      <c r="K34" s="269"/>
      <c r="L34" s="269"/>
      <c r="M34" s="269"/>
      <c r="N34" s="269"/>
      <c r="O34" s="269"/>
      <c r="P34" s="269"/>
      <c r="Q34" s="269"/>
      <c r="R34" s="269"/>
      <c r="S34" s="269"/>
      <c r="T34" s="269"/>
      <c r="U34" s="269"/>
      <c r="V34" s="269"/>
      <c r="W34" s="269"/>
      <c r="X34" s="269"/>
      <c r="Y34" s="269"/>
      <c r="Z34" s="269"/>
      <c r="AA34" s="269"/>
    </row>
  </sheetData>
  <mergeCells count="2">
    <mergeCell ref="A16:F16"/>
    <mergeCell ref="A2:H2"/>
  </mergeCells>
  <conditionalFormatting sqref="I20">
    <cfRule type="duplicateValues" dxfId="14" priority="1"/>
  </conditionalFormatting>
  <conditionalFormatting sqref="I20">
    <cfRule type="duplicateValues" dxfId="13" priority="2"/>
  </conditionalFormatting>
  <conditionalFormatting sqref="I20">
    <cfRule type="duplicateValues" dxfId="12" priority="3"/>
  </conditionalFormatting>
  <pageMargins left="0.7" right="0.7" top="0.75" bottom="0.75" header="0.51180555555555496" footer="0.51180555555555496"/>
  <pageSetup firstPageNumber="0"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/>
  </sheetPr>
  <dimension ref="A1:F16"/>
  <sheetViews>
    <sheetView showGridLines="0" zoomScaleNormal="100" workbookViewId="0">
      <selection activeCell="A2" sqref="A2:D12"/>
    </sheetView>
  </sheetViews>
  <sheetFormatPr defaultRowHeight="15" x14ac:dyDescent="0.25"/>
  <cols>
    <col min="1" max="1" width="9.28515625" customWidth="1"/>
    <col min="2" max="2" width="14.28515625" customWidth="1"/>
    <col min="3" max="3" width="27.5703125" customWidth="1"/>
    <col min="4" max="4" width="27.140625" customWidth="1"/>
    <col min="5" max="1025" width="9.140625" customWidth="1"/>
  </cols>
  <sheetData>
    <row r="1" spans="1:6" ht="16.7" customHeight="1" x14ac:dyDescent="0.25">
      <c r="A1" s="199"/>
      <c r="B1" s="199"/>
      <c r="C1" s="199"/>
      <c r="D1" s="199"/>
    </row>
    <row r="2" spans="1:6" ht="16.7" customHeight="1" x14ac:dyDescent="0.25">
      <c r="A2" s="615" t="s">
        <v>63</v>
      </c>
      <c r="B2" s="615"/>
      <c r="C2" s="615"/>
      <c r="D2" s="615"/>
    </row>
    <row r="3" spans="1:6" ht="16.7" customHeight="1" x14ac:dyDescent="0.3">
      <c r="A3" s="210"/>
      <c r="B3" s="200"/>
      <c r="C3" s="204"/>
      <c r="D3" s="204"/>
      <c r="E3" s="28"/>
      <c r="F3" s="28"/>
    </row>
    <row r="4" spans="1:6" ht="16.7" customHeight="1" x14ac:dyDescent="0.3">
      <c r="A4" s="210"/>
      <c r="B4" s="211"/>
      <c r="C4" s="203">
        <v>628.19050000000004</v>
      </c>
      <c r="D4" s="203">
        <v>628.19100000000003</v>
      </c>
      <c r="E4" s="28"/>
      <c r="F4" s="28"/>
    </row>
    <row r="5" spans="1:6" ht="16.7" customHeight="1" x14ac:dyDescent="0.3">
      <c r="A5" s="210"/>
      <c r="B5" s="211"/>
      <c r="C5" s="203" t="s">
        <v>64</v>
      </c>
      <c r="D5" s="203" t="s">
        <v>65</v>
      </c>
      <c r="E5" s="28"/>
      <c r="F5" s="28"/>
    </row>
    <row r="6" spans="1:6" ht="16.7" customHeight="1" x14ac:dyDescent="0.3">
      <c r="A6" s="199"/>
      <c r="B6" s="199"/>
      <c r="C6" s="203" t="s">
        <v>66</v>
      </c>
      <c r="D6" s="203" t="s">
        <v>66</v>
      </c>
      <c r="E6" s="28"/>
      <c r="F6" s="28"/>
    </row>
    <row r="7" spans="1:6" ht="16.7" customHeight="1" thickBot="1" x14ac:dyDescent="0.35">
      <c r="A7" s="232" t="s">
        <v>174</v>
      </c>
      <c r="B7" s="217" t="s">
        <v>3</v>
      </c>
      <c r="C7" s="217" t="s">
        <v>4</v>
      </c>
      <c r="D7" s="217" t="s">
        <v>4</v>
      </c>
      <c r="E7" s="28"/>
      <c r="F7" s="28"/>
    </row>
    <row r="8" spans="1:6" ht="16.7" customHeight="1" thickTop="1" x14ac:dyDescent="0.3">
      <c r="A8" s="204"/>
      <c r="B8" s="205"/>
      <c r="C8" s="205"/>
      <c r="D8" s="205"/>
      <c r="E8" s="28"/>
      <c r="F8" s="28"/>
    </row>
    <row r="9" spans="1:6" ht="16.7" customHeight="1" x14ac:dyDescent="0.3">
      <c r="A9" s="202" t="s">
        <v>108</v>
      </c>
      <c r="B9" s="205" t="s">
        <v>13</v>
      </c>
      <c r="C9" s="205">
        <v>4</v>
      </c>
      <c r="D9" s="205">
        <v>2</v>
      </c>
      <c r="E9" s="28"/>
      <c r="F9" s="28"/>
    </row>
    <row r="10" spans="1:6" ht="16.7" customHeight="1" thickBot="1" x14ac:dyDescent="0.35">
      <c r="A10" s="271"/>
      <c r="B10" s="209"/>
      <c r="C10" s="209"/>
      <c r="D10" s="209"/>
      <c r="E10" s="28"/>
      <c r="F10" s="28"/>
    </row>
    <row r="11" spans="1:6" ht="16.7" customHeight="1" thickTop="1" x14ac:dyDescent="0.3">
      <c r="A11" s="202" t="s">
        <v>162</v>
      </c>
      <c r="B11" s="202"/>
      <c r="C11" s="212">
        <f>SUM(C8:C9)</f>
        <v>4</v>
      </c>
      <c r="D11" s="212">
        <f>SUM(D8:D9)</f>
        <v>2</v>
      </c>
      <c r="E11" s="28"/>
      <c r="F11" s="28"/>
    </row>
    <row r="12" spans="1:6" ht="16.7" customHeight="1" x14ac:dyDescent="0.25">
      <c r="A12" s="199"/>
      <c r="B12" s="199"/>
      <c r="C12" s="199"/>
      <c r="D12" s="199"/>
    </row>
    <row r="13" spans="1:6" ht="16.7" customHeight="1" x14ac:dyDescent="0.25">
      <c r="A13" s="199"/>
      <c r="B13" s="199"/>
      <c r="C13" s="199"/>
      <c r="D13" s="199"/>
    </row>
    <row r="14" spans="1:6" ht="16.7" customHeight="1" x14ac:dyDescent="0.25">
      <c r="A14" s="345" t="s">
        <v>220</v>
      </c>
      <c r="B14" s="199"/>
      <c r="C14" s="199"/>
      <c r="D14" s="199"/>
    </row>
    <row r="15" spans="1:6" ht="16.7" customHeight="1" x14ac:dyDescent="0.25">
      <c r="A15" s="345" t="s">
        <v>221</v>
      </c>
      <c r="B15" s="199"/>
      <c r="C15" s="199"/>
      <c r="D15" s="199"/>
    </row>
    <row r="16" spans="1:6" ht="16.7" customHeight="1" x14ac:dyDescent="0.25"/>
  </sheetData>
  <mergeCells count="1">
    <mergeCell ref="A2:D2"/>
  </mergeCells>
  <conditionalFormatting sqref="A14:A15">
    <cfRule type="containsText" dxfId="11" priority="1" operator="containsText" text="1-"/>
  </conditionalFormatting>
  <pageMargins left="0.7" right="0.7" top="0.75" bottom="0.75" header="0.51180555555555496" footer="0.51180555555555496"/>
  <pageSetup firstPageNumber="0" orientation="portrait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/>
  </sheetPr>
  <dimension ref="A1:O15"/>
  <sheetViews>
    <sheetView showGridLines="0" zoomScaleNormal="100" workbookViewId="0">
      <selection sqref="A1:D10"/>
    </sheetView>
  </sheetViews>
  <sheetFormatPr defaultRowHeight="15" x14ac:dyDescent="0.25"/>
  <cols>
    <col min="1" max="1" width="11" customWidth="1"/>
    <col min="2" max="2" width="13.140625" customWidth="1"/>
    <col min="3" max="3" width="17.7109375" customWidth="1"/>
    <col min="4" max="4" width="17.42578125" customWidth="1"/>
    <col min="5" max="5" width="24.85546875" style="1" customWidth="1"/>
    <col min="6" max="10" width="9.140625" customWidth="1"/>
    <col min="11" max="11" width="16.28515625" customWidth="1"/>
    <col min="12" max="1026" width="9.140625" customWidth="1"/>
  </cols>
  <sheetData>
    <row r="1" spans="1:15" ht="15" customHeight="1" x14ac:dyDescent="0.25">
      <c r="A1" s="69"/>
      <c r="B1" s="69"/>
      <c r="C1" s="69"/>
      <c r="D1" s="69"/>
    </row>
    <row r="2" spans="1:15" ht="15" customHeight="1" x14ac:dyDescent="0.25">
      <c r="A2" s="611" t="s">
        <v>67</v>
      </c>
      <c r="B2" s="611"/>
      <c r="C2" s="611"/>
      <c r="D2" s="611"/>
      <c r="E2" s="171"/>
      <c r="G2" s="70"/>
    </row>
    <row r="3" spans="1:15" ht="15" customHeight="1" x14ac:dyDescent="0.25">
      <c r="A3" s="153"/>
      <c r="B3" s="153"/>
      <c r="C3" s="153"/>
      <c r="D3" s="195"/>
      <c r="E3" s="171"/>
      <c r="G3" s="49"/>
      <c r="H3" s="49"/>
      <c r="I3" s="49"/>
      <c r="J3" s="49"/>
      <c r="K3" s="49"/>
      <c r="L3" s="49"/>
      <c r="M3" s="49"/>
      <c r="N3" s="49"/>
      <c r="O3" s="49"/>
    </row>
    <row r="4" spans="1:15" ht="15" customHeight="1" x14ac:dyDescent="0.25">
      <c r="A4" s="162"/>
      <c r="B4" s="162"/>
      <c r="C4" s="157"/>
      <c r="D4" s="155">
        <v>633.52</v>
      </c>
      <c r="E4" s="171"/>
      <c r="G4" s="49"/>
      <c r="H4" s="49"/>
      <c r="I4" s="49"/>
      <c r="J4" s="49"/>
      <c r="K4" s="49"/>
      <c r="L4" s="49"/>
      <c r="M4" s="49"/>
      <c r="N4" s="49"/>
      <c r="O4" s="49"/>
    </row>
    <row r="5" spans="1:15" ht="15" customHeight="1" thickBot="1" x14ac:dyDescent="0.3">
      <c r="A5" s="191" t="s">
        <v>174</v>
      </c>
      <c r="B5" s="192" t="s">
        <v>2</v>
      </c>
      <c r="C5" s="192" t="s">
        <v>3</v>
      </c>
      <c r="D5" s="192" t="s">
        <v>4</v>
      </c>
      <c r="E5" s="171"/>
      <c r="G5" s="49"/>
      <c r="H5" s="49"/>
      <c r="I5" s="49"/>
      <c r="J5" s="49"/>
      <c r="K5" s="49"/>
      <c r="L5" s="49"/>
      <c r="M5" s="49"/>
      <c r="N5" s="49"/>
      <c r="O5" s="49"/>
    </row>
    <row r="6" spans="1:15" ht="15" customHeight="1" thickTop="1" x14ac:dyDescent="0.25">
      <c r="A6" s="159"/>
      <c r="B6" s="160"/>
      <c r="C6" s="160"/>
      <c r="D6" s="160"/>
      <c r="E6" s="171"/>
      <c r="G6" s="49"/>
      <c r="H6" s="49"/>
      <c r="I6" s="49"/>
      <c r="J6" s="49"/>
      <c r="K6" s="49"/>
      <c r="L6" s="49"/>
      <c r="M6" s="49"/>
      <c r="N6" s="49"/>
      <c r="O6" s="49"/>
    </row>
    <row r="7" spans="1:15" ht="15" customHeight="1" x14ac:dyDescent="0.25">
      <c r="A7" s="159" t="s">
        <v>108</v>
      </c>
      <c r="B7" s="160" t="s">
        <v>106</v>
      </c>
      <c r="C7" s="160" t="s">
        <v>13</v>
      </c>
      <c r="D7" s="160">
        <v>2</v>
      </c>
      <c r="E7" s="171"/>
      <c r="G7" s="49"/>
      <c r="H7" s="49"/>
      <c r="I7" s="49"/>
      <c r="J7" s="49"/>
      <c r="K7" s="49"/>
      <c r="L7" s="49"/>
      <c r="M7" s="49"/>
      <c r="N7" s="49"/>
      <c r="O7" s="49"/>
    </row>
    <row r="8" spans="1:15" ht="15" customHeight="1" x14ac:dyDescent="0.25">
      <c r="A8" s="159" t="s">
        <v>108</v>
      </c>
      <c r="B8" s="160" t="s">
        <v>107</v>
      </c>
      <c r="C8" s="160" t="s">
        <v>13</v>
      </c>
      <c r="D8" s="160">
        <v>2</v>
      </c>
      <c r="E8" s="171"/>
      <c r="G8" s="49"/>
      <c r="H8" s="49"/>
      <c r="I8" s="49"/>
      <c r="J8" s="49"/>
      <c r="K8" s="49"/>
      <c r="L8" s="49"/>
      <c r="M8" s="49"/>
      <c r="N8" s="49"/>
      <c r="O8" s="49"/>
    </row>
    <row r="9" spans="1:15" ht="15" customHeight="1" x14ac:dyDescent="0.25">
      <c r="A9" s="159"/>
      <c r="B9" s="402"/>
      <c r="C9" s="402"/>
      <c r="D9" s="402"/>
      <c r="E9" s="171"/>
      <c r="G9" s="49"/>
      <c r="H9" s="49"/>
      <c r="I9" s="49"/>
      <c r="J9" s="49"/>
      <c r="K9" s="49"/>
      <c r="L9" s="49"/>
      <c r="M9" s="49"/>
      <c r="N9" s="49"/>
      <c r="O9" s="49"/>
    </row>
    <row r="10" spans="1:15" ht="15" customHeight="1" x14ac:dyDescent="0.25">
      <c r="A10" s="428" t="s">
        <v>163</v>
      </c>
      <c r="B10" s="411"/>
      <c r="C10" s="428"/>
      <c r="D10" s="416">
        <f>SUM(D7:D8)</f>
        <v>4</v>
      </c>
      <c r="E10" s="171"/>
      <c r="G10" s="58"/>
      <c r="H10" s="58"/>
      <c r="I10" s="58"/>
      <c r="J10" s="58"/>
      <c r="K10" s="58"/>
      <c r="L10" s="58"/>
      <c r="M10" s="58"/>
      <c r="N10" s="58"/>
      <c r="O10" s="58"/>
    </row>
    <row r="11" spans="1:15" ht="16.7" customHeight="1" x14ac:dyDescent="0.25">
      <c r="A11" s="172"/>
      <c r="B11" s="275"/>
      <c r="C11" s="172"/>
      <c r="D11" s="172"/>
      <c r="E11" s="171"/>
    </row>
    <row r="12" spans="1:15" ht="16.7" customHeight="1" x14ac:dyDescent="0.25">
      <c r="A12" s="172"/>
      <c r="B12" s="172"/>
      <c r="C12" s="172"/>
      <c r="D12" s="172"/>
      <c r="E12" s="171"/>
    </row>
    <row r="13" spans="1:15" ht="16.7" customHeight="1" x14ac:dyDescent="0.25">
      <c r="A13" s="345" t="s">
        <v>220</v>
      </c>
      <c r="B13" s="172"/>
      <c r="C13" s="172"/>
      <c r="D13" s="172"/>
      <c r="E13" s="171"/>
    </row>
    <row r="14" spans="1:15" x14ac:dyDescent="0.25">
      <c r="A14" s="345" t="s">
        <v>221</v>
      </c>
      <c r="B14" s="172"/>
      <c r="C14" s="172"/>
      <c r="D14" s="172"/>
      <c r="E14" s="171"/>
    </row>
    <row r="15" spans="1:15" x14ac:dyDescent="0.25">
      <c r="A15" s="172"/>
      <c r="B15" s="172"/>
      <c r="C15" s="172"/>
      <c r="D15" s="172"/>
      <c r="E15" s="171"/>
    </row>
  </sheetData>
  <mergeCells count="1">
    <mergeCell ref="A2:D2"/>
  </mergeCells>
  <conditionalFormatting sqref="A13:A14">
    <cfRule type="containsText" dxfId="10" priority="1" operator="containsText" text="1-"/>
  </conditionalFormatting>
  <pageMargins left="0.7" right="0.7" top="0.75" bottom="0.75" header="0.51180555555555496" footer="0.51180555555555496"/>
  <pageSetup firstPageNumber="0" orientation="portrait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9"/>
    <pageSetUpPr fitToPage="1"/>
  </sheetPr>
  <dimension ref="A1:P168"/>
  <sheetViews>
    <sheetView showGridLines="0" zoomScaleNormal="100" workbookViewId="0">
      <selection activeCell="F4" sqref="F4"/>
    </sheetView>
  </sheetViews>
  <sheetFormatPr defaultRowHeight="15" x14ac:dyDescent="0.25"/>
  <cols>
    <col min="1" max="1" width="37.5703125" customWidth="1"/>
    <col min="2" max="2" width="14.5703125" customWidth="1"/>
    <col min="3" max="3" width="19.140625" customWidth="1"/>
    <col min="4" max="4" width="9" customWidth="1"/>
    <col min="5" max="5" width="15.140625" customWidth="1"/>
    <col min="6" max="6" width="15.5703125" customWidth="1"/>
    <col min="7" max="7" width="14.7109375" customWidth="1"/>
    <col min="8" max="8" width="25" customWidth="1"/>
    <col min="9" max="9" width="52.140625" customWidth="1"/>
    <col min="10" max="10" width="21.140625" style="1" customWidth="1"/>
    <col min="11" max="12" width="8.7109375" customWidth="1"/>
    <col min="13" max="13" width="10.28515625" customWidth="1"/>
    <col min="14" max="14" width="19.140625" customWidth="1"/>
    <col min="15" max="1022" width="8.7109375" customWidth="1"/>
  </cols>
  <sheetData>
    <row r="1" spans="1:16" ht="15" customHeight="1" x14ac:dyDescent="0.25">
      <c r="A1" s="260"/>
      <c r="B1" s="260"/>
      <c r="C1" s="260"/>
      <c r="D1" s="260"/>
      <c r="E1" s="541"/>
      <c r="F1" s="260"/>
      <c r="G1" s="260"/>
      <c r="H1" s="260"/>
      <c r="I1" s="71"/>
    </row>
    <row r="2" spans="1:16" ht="15" customHeight="1" x14ac:dyDescent="0.25">
      <c r="A2" s="492"/>
      <c r="B2" s="492"/>
      <c r="C2" s="549" t="s">
        <v>361</v>
      </c>
      <c r="D2" s="549"/>
      <c r="E2" s="549"/>
      <c r="F2" s="549"/>
      <c r="G2" s="549"/>
      <c r="H2" s="549"/>
      <c r="I2" s="492"/>
      <c r="J2" s="492"/>
    </row>
    <row r="3" spans="1:16" ht="15" customHeight="1" x14ac:dyDescent="0.3">
      <c r="A3" s="200"/>
      <c r="B3" s="200"/>
      <c r="C3" s="200"/>
      <c r="D3" s="200"/>
      <c r="E3" s="200"/>
      <c r="F3" s="200"/>
      <c r="G3" s="200"/>
      <c r="H3" s="200"/>
      <c r="I3" s="65"/>
      <c r="J3" s="23"/>
    </row>
    <row r="4" spans="1:16" ht="15" customHeight="1" x14ac:dyDescent="0.3">
      <c r="A4" s="200"/>
      <c r="B4" s="200"/>
      <c r="C4" s="200"/>
      <c r="D4" s="200"/>
      <c r="E4" s="459">
        <v>634.06140000000005</v>
      </c>
      <c r="F4" s="493">
        <v>638.21019999999999</v>
      </c>
      <c r="G4" s="493">
        <v>638.29999999999995</v>
      </c>
      <c r="H4" s="200"/>
      <c r="I4" s="65"/>
      <c r="J4" s="23"/>
    </row>
    <row r="5" spans="1:16" ht="15" customHeight="1" x14ac:dyDescent="0.3">
      <c r="A5" s="200"/>
      <c r="B5" s="200"/>
      <c r="C5" s="200"/>
      <c r="D5" s="200"/>
      <c r="E5" s="459" t="s">
        <v>344</v>
      </c>
      <c r="F5" s="381" t="s">
        <v>341</v>
      </c>
      <c r="G5" s="493" t="s">
        <v>365</v>
      </c>
      <c r="H5" s="200"/>
      <c r="I5" s="65"/>
      <c r="J5" s="23"/>
    </row>
    <row r="6" spans="1:16" ht="15" customHeight="1" x14ac:dyDescent="0.3">
      <c r="A6" s="541"/>
      <c r="B6" s="214"/>
      <c r="C6" s="210"/>
      <c r="D6" s="211"/>
      <c r="E6" s="211" t="s">
        <v>366</v>
      </c>
      <c r="F6" s="494" t="s">
        <v>68</v>
      </c>
      <c r="G6" s="381" t="s">
        <v>342</v>
      </c>
      <c r="H6" s="214"/>
      <c r="I6" s="79"/>
      <c r="J6" s="23"/>
    </row>
    <row r="7" spans="1:16" ht="15" customHeight="1" x14ac:dyDescent="0.3">
      <c r="A7" s="459"/>
      <c r="B7" s="459"/>
      <c r="C7" s="210"/>
      <c r="D7" s="211"/>
      <c r="E7" s="211" t="s">
        <v>368</v>
      </c>
      <c r="F7" s="494" t="s">
        <v>69</v>
      </c>
      <c r="G7" s="494" t="s">
        <v>343</v>
      </c>
      <c r="H7" s="202"/>
      <c r="I7" s="10"/>
      <c r="J7" s="23"/>
      <c r="K7" s="9" t="s">
        <v>70</v>
      </c>
      <c r="L7" s="9" t="s">
        <v>71</v>
      </c>
    </row>
    <row r="8" spans="1:16" ht="15" customHeight="1" thickBot="1" x14ac:dyDescent="0.35">
      <c r="A8" s="459"/>
      <c r="B8" s="459"/>
      <c r="C8" s="232" t="s">
        <v>213</v>
      </c>
      <c r="D8" s="217"/>
      <c r="E8" s="217" t="s">
        <v>4</v>
      </c>
      <c r="F8" s="495" t="s">
        <v>4</v>
      </c>
      <c r="G8" s="495" t="s">
        <v>4</v>
      </c>
      <c r="H8" s="406" t="s">
        <v>5</v>
      </c>
      <c r="I8" s="80"/>
      <c r="J8" s="23"/>
    </row>
    <row r="9" spans="1:16" ht="15" customHeight="1" thickTop="1" x14ac:dyDescent="0.3">
      <c r="A9" s="459"/>
      <c r="B9" s="459"/>
      <c r="C9" s="404"/>
      <c r="D9" s="403"/>
      <c r="E9" s="459"/>
      <c r="F9" s="381"/>
      <c r="G9" s="381"/>
      <c r="H9" s="214"/>
      <c r="I9" s="181"/>
      <c r="J9" s="23"/>
    </row>
    <row r="10" spans="1:16" ht="15" customHeight="1" x14ac:dyDescent="0.3">
      <c r="A10" s="287"/>
      <c r="B10" s="459"/>
      <c r="C10" s="214" t="s">
        <v>367</v>
      </c>
      <c r="D10" s="288"/>
      <c r="E10" s="381">
        <v>10</v>
      </c>
      <c r="F10" s="381">
        <v>10</v>
      </c>
      <c r="G10" s="381">
        <v>10</v>
      </c>
      <c r="H10" s="214" t="s">
        <v>364</v>
      </c>
      <c r="I10" s="80"/>
      <c r="J10" s="23"/>
      <c r="K10" s="68">
        <v>19</v>
      </c>
      <c r="L10" s="68">
        <v>36</v>
      </c>
      <c r="M10" s="68" t="e">
        <f>(($K10-6)/4)+IF(OR(#REF!&gt;20,#REF!&gt;20),9.5,10.5)+($L10/12)</f>
        <v>#REF!</v>
      </c>
      <c r="N10" s="68" t="e">
        <f>(($K10-6)/4)+IF(OR(#REF!&gt;20,#REF!&gt;20),10.5,11.5)+($L10/12)</f>
        <v>#REF!</v>
      </c>
      <c r="O10" s="68"/>
      <c r="P10" s="68"/>
    </row>
    <row r="11" spans="1:16" ht="15" customHeight="1" x14ac:dyDescent="0.3">
      <c r="A11" s="287"/>
      <c r="B11" s="459"/>
      <c r="C11" s="286"/>
      <c r="D11" s="207"/>
      <c r="E11" s="207"/>
      <c r="F11" s="496"/>
      <c r="G11" s="496"/>
      <c r="H11" s="207"/>
      <c r="I11" s="80"/>
      <c r="J11" s="23"/>
      <c r="K11" s="68">
        <v>13.5</v>
      </c>
      <c r="L11" s="68">
        <v>45</v>
      </c>
      <c r="M11" s="72" t="e">
        <f>(($K11-6)/4)+IF(OR(#REF!&gt;20,#REF!&gt;20),9.5,10.5)+($L11/12)</f>
        <v>#REF!</v>
      </c>
      <c r="N11" s="68" t="e">
        <f>(($K11-6)/4)+IF(OR(#REF!&gt;20,#REF!&gt;20),10.5,11.5)+($L11/12)</f>
        <v>#REF!</v>
      </c>
      <c r="O11" s="68"/>
      <c r="P11" s="68"/>
    </row>
    <row r="12" spans="1:16" ht="15" customHeight="1" x14ac:dyDescent="0.3">
      <c r="A12" s="287"/>
      <c r="B12" s="459"/>
      <c r="C12" s="413" t="s">
        <v>162</v>
      </c>
      <c r="D12" s="414"/>
      <c r="E12" s="497">
        <f>SUM(E10:E10)</f>
        <v>10</v>
      </c>
      <c r="F12" s="497">
        <f>SUM(F10:F10)</f>
        <v>10</v>
      </c>
      <c r="G12" s="497">
        <f>SUM(G10:G10)</f>
        <v>10</v>
      </c>
      <c r="H12" s="415"/>
      <c r="I12" s="80"/>
      <c r="J12" s="23"/>
      <c r="K12" s="68">
        <v>13.5</v>
      </c>
      <c r="L12" s="68">
        <v>45</v>
      </c>
      <c r="M12" s="72" t="e">
        <f>(($K12-6)/4)+IF(OR(#REF!&gt;20,#REF!&gt;20),9.5,10.5)+($L12/12)</f>
        <v>#REF!</v>
      </c>
      <c r="N12" s="68" t="e">
        <f>(($K12-6)/4)+IF(OR(#REF!&gt;20,#REF!&gt;20),10.5,11.5)+($L12/12)</f>
        <v>#REF!</v>
      </c>
      <c r="O12" s="68"/>
      <c r="P12" s="68"/>
    </row>
    <row r="13" spans="1:16" ht="15" customHeight="1" x14ac:dyDescent="0.3">
      <c r="A13" s="459"/>
      <c r="B13" s="459"/>
      <c r="C13" s="214"/>
      <c r="D13" s="233"/>
      <c r="E13" s="459"/>
      <c r="F13" s="233"/>
      <c r="G13" s="233"/>
      <c r="H13" s="260"/>
      <c r="I13" s="80"/>
      <c r="J13" s="23"/>
      <c r="K13" s="68">
        <v>36</v>
      </c>
      <c r="L13" s="68">
        <v>30</v>
      </c>
      <c r="M13" s="68" t="e">
        <f>(($K13-6)/4)+IF(OR(#REF!&gt;20,#REF!&gt;20),9.5,10.5)+($L13/12)</f>
        <v>#REF!</v>
      </c>
      <c r="N13" s="68" t="e">
        <f>(($K13-6)/4)+IF(OR(#REF!&gt;20,#REF!&gt;20),10.5,11.5)+($L13/12)</f>
        <v>#REF!</v>
      </c>
      <c r="O13" s="68"/>
      <c r="P13" s="68"/>
    </row>
    <row r="14" spans="1:16" ht="15" customHeight="1" x14ac:dyDescent="0.3">
      <c r="A14" s="541"/>
      <c r="B14" s="459"/>
      <c r="C14" s="214"/>
      <c r="D14" s="214"/>
      <c r="E14" s="214"/>
      <c r="F14" s="233"/>
      <c r="G14" s="233"/>
      <c r="H14" s="260"/>
      <c r="I14" s="181"/>
      <c r="J14" s="23"/>
      <c r="K14" s="68"/>
      <c r="L14" s="68"/>
      <c r="M14" s="68"/>
      <c r="N14" s="68"/>
      <c r="O14" s="68"/>
      <c r="P14" s="68"/>
    </row>
    <row r="15" spans="1:16" ht="15" customHeight="1" x14ac:dyDescent="0.3">
      <c r="A15" s="233"/>
      <c r="B15" s="233"/>
      <c r="C15" s="199"/>
      <c r="D15" s="199"/>
      <c r="E15" s="199"/>
      <c r="F15" s="199"/>
      <c r="G15" s="199"/>
      <c r="H15" s="199"/>
      <c r="I15" s="181"/>
      <c r="J15" s="23"/>
      <c r="K15" s="68"/>
      <c r="L15" s="68"/>
      <c r="M15" s="68"/>
      <c r="N15" s="68"/>
      <c r="O15" s="68"/>
      <c r="P15" s="68"/>
    </row>
    <row r="16" spans="1:16" ht="15" customHeight="1" x14ac:dyDescent="0.3">
      <c r="A16" s="214"/>
      <c r="B16" s="214"/>
      <c r="C16" s="289"/>
      <c r="D16" s="289"/>
      <c r="E16" s="289"/>
      <c r="F16" s="258"/>
      <c r="G16" s="258"/>
      <c r="H16" s="258"/>
      <c r="I16" s="181"/>
      <c r="J16" s="23"/>
      <c r="K16" s="68"/>
      <c r="L16" s="68"/>
      <c r="M16" s="68"/>
      <c r="N16" s="68"/>
      <c r="O16" s="68"/>
      <c r="P16" s="68"/>
    </row>
    <row r="17" spans="1:16" ht="15" customHeight="1" x14ac:dyDescent="0.3">
      <c r="A17" s="199"/>
      <c r="B17" s="199"/>
      <c r="C17" s="258"/>
      <c r="D17" s="290"/>
      <c r="E17" s="290"/>
      <c r="F17" s="258"/>
      <c r="G17" s="258"/>
      <c r="H17" s="258"/>
      <c r="I17" s="181"/>
      <c r="J17" s="23"/>
      <c r="K17" s="68"/>
      <c r="L17" s="68"/>
      <c r="M17" s="68"/>
      <c r="N17" s="68"/>
      <c r="O17" s="68"/>
      <c r="P17" s="68"/>
    </row>
    <row r="18" spans="1:16" ht="15" customHeight="1" x14ac:dyDescent="0.3">
      <c r="A18" s="289" t="s">
        <v>218</v>
      </c>
      <c r="B18" s="289"/>
      <c r="C18" s="258"/>
      <c r="D18" s="290"/>
      <c r="E18" s="290"/>
      <c r="F18" s="258"/>
      <c r="G18" s="258"/>
      <c r="H18" s="258"/>
      <c r="I18" s="181"/>
      <c r="J18" s="23"/>
      <c r="K18" s="68"/>
      <c r="L18" s="68"/>
      <c r="M18" s="68"/>
      <c r="N18" s="68"/>
      <c r="O18" s="68"/>
      <c r="P18" s="68"/>
    </row>
    <row r="19" spans="1:16" s="1" customFormat="1" ht="15" customHeight="1" x14ac:dyDescent="0.3">
      <c r="A19" s="311" t="s">
        <v>217</v>
      </c>
      <c r="B19" s="258"/>
      <c r="C19" s="258"/>
      <c r="D19" s="290"/>
      <c r="E19" s="290"/>
      <c r="F19" s="258"/>
      <c r="G19" s="258"/>
      <c r="H19" s="258"/>
      <c r="I19" s="80"/>
      <c r="J19" s="23"/>
      <c r="K19" s="68">
        <v>18</v>
      </c>
      <c r="L19" s="68">
        <v>57</v>
      </c>
      <c r="M19" s="72" t="e">
        <f>(($K19-6)/4)+IF(OR(#REF!&gt;20,#REF!&gt;20),9.5,10.5)+($L19/12)</f>
        <v>#REF!</v>
      </c>
      <c r="N19" s="68" t="e">
        <f>(($K19-6)/4)+IF(OR(#REF!&gt;20,#REF!&gt;20),10.5,11.5)+($L19/12)</f>
        <v>#REF!</v>
      </c>
      <c r="O19" s="68"/>
      <c r="P19" s="68"/>
    </row>
    <row r="20" spans="1:16" s="1" customFormat="1" ht="15" customHeight="1" x14ac:dyDescent="0.3">
      <c r="A20" s="311" t="s">
        <v>219</v>
      </c>
      <c r="B20" s="258"/>
      <c r="C20" s="258"/>
      <c r="D20" s="290"/>
      <c r="E20" s="290"/>
      <c r="F20" s="258"/>
      <c r="G20" s="258"/>
      <c r="H20" s="258"/>
      <c r="I20" s="181"/>
      <c r="J20" s="23"/>
      <c r="K20" s="68"/>
      <c r="L20" s="68"/>
      <c r="M20" s="72"/>
      <c r="N20" s="68"/>
      <c r="O20" s="68"/>
      <c r="P20" s="68"/>
    </row>
    <row r="21" spans="1:16" ht="15" customHeight="1" x14ac:dyDescent="0.3">
      <c r="A21" s="289"/>
      <c r="B21" s="258"/>
      <c r="C21" s="199"/>
      <c r="D21" s="199"/>
      <c r="E21" s="199"/>
      <c r="F21" s="199"/>
      <c r="G21" s="199"/>
      <c r="H21" s="199"/>
      <c r="I21" s="80"/>
      <c r="J21" s="23"/>
      <c r="K21" s="1"/>
      <c r="L21" s="1"/>
      <c r="M21" s="68" t="e">
        <f>(($K21-6)/4)+IF(OR(#REF!&gt;20,#REF!&gt;20),9.5,10.5)+($L21/12)</f>
        <v>#REF!</v>
      </c>
      <c r="N21" s="68" t="e">
        <f>(($K21-6)/4)+IF(OR(#REF!&gt;20,#REF!&gt;20),10.5,11.5)+($L21/12)</f>
        <v>#REF!</v>
      </c>
    </row>
    <row r="22" spans="1:16" ht="15" customHeight="1" x14ac:dyDescent="0.3">
      <c r="A22" s="548" t="s">
        <v>363</v>
      </c>
      <c r="B22" s="258"/>
      <c r="C22" s="260"/>
      <c r="D22" s="260"/>
      <c r="E22" s="541"/>
      <c r="F22" s="260"/>
      <c r="G22" s="260"/>
      <c r="H22" s="260"/>
      <c r="I22" s="14"/>
      <c r="J22" s="23"/>
      <c r="K22" s="1"/>
      <c r="L22" s="1"/>
      <c r="M22" s="68" t="e">
        <f>(($K22-6)/4)+IF(OR(#REF!&gt;20,#REF!&gt;20),9.5,10.5)+($L22/12)</f>
        <v>#REF!</v>
      </c>
      <c r="N22" s="68" t="e">
        <f>(($K22-6)/4)+IF(OR(#REF!&gt;20,#REF!&gt;20),10.5,11.5)+($L22/12)</f>
        <v>#REF!</v>
      </c>
    </row>
    <row r="23" spans="1:16" ht="16.7" customHeight="1" x14ac:dyDescent="0.3">
      <c r="A23" s="547" t="s">
        <v>221</v>
      </c>
      <c r="B23" s="199"/>
      <c r="C23" s="200"/>
      <c r="D23" s="200"/>
      <c r="E23" s="200"/>
      <c r="F23" s="200"/>
      <c r="G23" s="200"/>
      <c r="H23" s="200"/>
      <c r="I23" s="48"/>
      <c r="J23" s="23"/>
      <c r="K23" s="1"/>
      <c r="L23" s="1"/>
      <c r="M23" s="68" t="e">
        <f>(($K23-6)/4)+IF(OR(#REF!&gt;20,#REF!&gt;20),9.5,10.5)+($L23/12)</f>
        <v>#REF!</v>
      </c>
      <c r="N23" s="68" t="e">
        <f>(($K23-6)/4)+IF(OR(#REF!&gt;20,#REF!&gt;20),10.5,11.5)+($L23/12)</f>
        <v>#REF!</v>
      </c>
    </row>
    <row r="24" spans="1:16" ht="16.7" customHeight="1" x14ac:dyDescent="0.3">
      <c r="A24" s="260"/>
      <c r="B24" s="260"/>
      <c r="C24" s="200"/>
      <c r="D24" s="200"/>
      <c r="E24" s="200"/>
      <c r="F24" s="200"/>
      <c r="G24" s="200"/>
      <c r="H24" s="200"/>
      <c r="I24" s="48"/>
      <c r="J24" s="23"/>
      <c r="K24" s="1"/>
      <c r="L24" s="1"/>
      <c r="M24" s="68" t="e">
        <f>(($K24-6)/4)+IF(OR(#REF!&gt;20,#REF!&gt;20),9.5,10.5)+($L24/12)</f>
        <v>#REF!</v>
      </c>
      <c r="N24" s="68" t="e">
        <f>(($K24-6)/4)+IF(OR(#REF!&gt;20,#REF!&gt;20),10.5,11.5)+($L24/12)</f>
        <v>#REF!</v>
      </c>
    </row>
    <row r="25" spans="1:16" ht="16.7" customHeight="1" x14ac:dyDescent="0.3">
      <c r="A25" s="200"/>
      <c r="B25" s="200"/>
      <c r="C25" s="200"/>
      <c r="D25" s="200"/>
      <c r="E25" s="200"/>
      <c r="F25" s="277"/>
      <c r="G25" s="277"/>
      <c r="H25" s="200"/>
      <c r="J25" s="23"/>
      <c r="K25" s="1"/>
      <c r="L25" s="1"/>
      <c r="M25" s="68" t="e">
        <f>(($K25-6)/4)+IF(OR(#REF!&gt;20,#REF!&gt;20),9.5,10.5)+($L25/12)</f>
        <v>#REF!</v>
      </c>
      <c r="N25" s="68" t="e">
        <f>(($K25-6)/4)+IF(OR(#REF!&gt;20,#REF!&gt;20),10.5,11.5)+($L25/12)</f>
        <v>#REF!</v>
      </c>
    </row>
    <row r="26" spans="1:16" ht="16.7" customHeight="1" x14ac:dyDescent="0.3">
      <c r="A26" s="200"/>
      <c r="B26" s="200"/>
      <c r="C26" s="200"/>
      <c r="D26" s="200"/>
      <c r="E26" s="200"/>
      <c r="F26" s="233"/>
      <c r="G26" s="277"/>
      <c r="H26" s="200"/>
      <c r="I26" s="23"/>
      <c r="J26" s="23"/>
      <c r="K26" s="1"/>
      <c r="L26" s="1">
        <v>36</v>
      </c>
      <c r="M26" s="68"/>
      <c r="N26" s="68" t="e">
        <f>(($K26-6)/4)+IF(OR(#REF!&gt;20,#REF!&gt;20),10.5,11.5)+($L26/12)</f>
        <v>#REF!</v>
      </c>
    </row>
    <row r="27" spans="1:16" ht="16.5" customHeight="1" x14ac:dyDescent="0.3">
      <c r="A27" s="200"/>
      <c r="B27" s="200"/>
      <c r="C27" s="260"/>
      <c r="D27" s="233"/>
      <c r="E27" s="459"/>
      <c r="F27" s="233"/>
      <c r="G27" s="233"/>
      <c r="H27" s="214"/>
      <c r="I27" s="23"/>
      <c r="J27" s="23"/>
      <c r="K27" s="1"/>
      <c r="L27" s="1">
        <v>36</v>
      </c>
      <c r="M27" s="68"/>
      <c r="N27" s="68" t="e">
        <f>(($K27-6)/4)+IF(OR(#REF!&gt;20,#REF!&gt;20),10.5,11.5)+($L27/12)</f>
        <v>#REF!</v>
      </c>
    </row>
    <row r="28" spans="1:16" ht="16.7" customHeight="1" x14ac:dyDescent="0.25">
      <c r="A28" s="200"/>
      <c r="B28" s="200"/>
      <c r="C28" s="260"/>
      <c r="D28" s="233"/>
      <c r="E28" s="459"/>
      <c r="F28" s="233"/>
      <c r="G28" s="233"/>
      <c r="H28" s="214"/>
      <c r="I28" s="1"/>
      <c r="K28" s="1"/>
      <c r="L28" s="1">
        <v>36</v>
      </c>
      <c r="M28" s="68"/>
      <c r="N28" s="68" t="e">
        <f>(($K28-6)/4)+IF(OR(#REF!&gt;20,#REF!&gt;20),10.5,11.5)+($L28/12)</f>
        <v>#REF!</v>
      </c>
    </row>
    <row r="29" spans="1:16" ht="16.7" customHeight="1" x14ac:dyDescent="0.25">
      <c r="A29" s="260"/>
      <c r="B29" s="214"/>
      <c r="C29" s="260"/>
      <c r="D29" s="233"/>
      <c r="E29" s="459"/>
      <c r="F29" s="233"/>
      <c r="G29" s="233"/>
      <c r="H29" s="233"/>
      <c r="I29" s="1"/>
      <c r="K29" s="1"/>
      <c r="L29" s="1">
        <v>24</v>
      </c>
      <c r="M29" s="68"/>
      <c r="N29" s="68" t="e">
        <f>(($K29-6)/4)+IF(OR(#REF!&gt;20,#REF!&gt;20),10.5,11.5)+($L29/12)</f>
        <v>#REF!</v>
      </c>
    </row>
    <row r="30" spans="1:16" ht="16.7" customHeight="1" x14ac:dyDescent="0.25">
      <c r="A30" s="233"/>
      <c r="B30" s="233"/>
      <c r="C30" s="258"/>
      <c r="D30" s="258"/>
      <c r="E30" s="258"/>
      <c r="F30" s="258"/>
      <c r="G30" s="258"/>
      <c r="H30" s="258"/>
      <c r="I30" s="1"/>
      <c r="K30" s="1"/>
      <c r="L30" s="1">
        <v>36</v>
      </c>
      <c r="M30" s="68"/>
      <c r="N30" s="68" t="e">
        <f>(($K30-6)/4)+IF(OR(#REF!&gt;20,#REF!&gt;20),10.5,11.5)+($L30/12)</f>
        <v>#REF!</v>
      </c>
    </row>
    <row r="31" spans="1:16" ht="16.7" customHeight="1" x14ac:dyDescent="0.25">
      <c r="A31" s="233"/>
      <c r="B31" s="233"/>
      <c r="C31" s="258"/>
      <c r="D31" s="258"/>
      <c r="E31" s="258"/>
      <c r="F31" s="258"/>
      <c r="G31" s="258"/>
      <c r="H31" s="258"/>
      <c r="K31">
        <v>6</v>
      </c>
      <c r="L31" s="1">
        <v>36</v>
      </c>
      <c r="M31" s="68"/>
      <c r="N31" s="68" t="e">
        <f>(($K31-6)/4)+IF(OR(#REF!&gt;20,#REF!&gt;20),10.5,11.5)+($L31/12)</f>
        <v>#REF!</v>
      </c>
    </row>
    <row r="32" spans="1:16" ht="18" x14ac:dyDescent="0.25">
      <c r="A32" s="258"/>
      <c r="B32" s="258"/>
      <c r="C32" s="199"/>
      <c r="D32" s="199"/>
      <c r="E32" s="199"/>
      <c r="F32" s="199"/>
      <c r="G32" s="199"/>
      <c r="H32" s="199"/>
      <c r="I32" s="71"/>
      <c r="K32">
        <v>6</v>
      </c>
      <c r="L32" s="1">
        <v>24</v>
      </c>
      <c r="M32" s="68"/>
      <c r="N32" s="68" t="e">
        <f>(($K32-6)/4)+IF(OR(#REF!&gt;20,#REF!&gt;20),10.5,11.5)+($L32/12)</f>
        <v>#REF!</v>
      </c>
    </row>
    <row r="33" spans="1:14" ht="20.25" x14ac:dyDescent="0.25">
      <c r="A33" s="258"/>
      <c r="B33" s="258"/>
      <c r="C33" s="199"/>
      <c r="D33" s="199"/>
      <c r="E33" s="199"/>
      <c r="F33" s="199"/>
      <c r="G33" s="199"/>
      <c r="H33" s="199"/>
      <c r="I33" s="81"/>
      <c r="K33">
        <v>10</v>
      </c>
      <c r="L33" s="1">
        <v>43</v>
      </c>
      <c r="M33" s="68"/>
      <c r="N33" s="68" t="e">
        <f>(($K33-6)/4)+IF(OR(#REF!&gt;20,#REF!&gt;20),10.5,11.5)+($L33/12)</f>
        <v>#REF!</v>
      </c>
    </row>
    <row r="34" spans="1:14" ht="18" x14ac:dyDescent="0.25">
      <c r="A34" s="199"/>
      <c r="B34" s="199"/>
      <c r="C34" s="199"/>
      <c r="D34" s="199"/>
      <c r="E34" s="199"/>
      <c r="F34" s="199"/>
      <c r="G34" s="199"/>
      <c r="H34" s="199"/>
      <c r="I34" s="65"/>
      <c r="M34" s="68"/>
      <c r="N34" s="68"/>
    </row>
    <row r="35" spans="1:14" ht="18" x14ac:dyDescent="0.25">
      <c r="A35" s="199"/>
      <c r="B35" s="199"/>
      <c r="C35" s="199"/>
      <c r="D35" s="199"/>
      <c r="E35" s="199"/>
      <c r="F35" s="199"/>
      <c r="G35" s="199"/>
      <c r="H35" s="199"/>
      <c r="I35" s="65"/>
      <c r="M35" s="68"/>
      <c r="N35" s="68"/>
    </row>
    <row r="36" spans="1:14" ht="18" x14ac:dyDescent="0.25">
      <c r="A36" s="199"/>
      <c r="B36" s="199"/>
      <c r="C36" s="199"/>
      <c r="D36" s="199"/>
      <c r="E36" s="199"/>
      <c r="F36" s="199"/>
      <c r="G36" s="199"/>
      <c r="H36" s="199"/>
      <c r="I36" s="65"/>
      <c r="M36" s="68"/>
      <c r="N36" s="68"/>
    </row>
    <row r="37" spans="1:14" ht="18" x14ac:dyDescent="0.25">
      <c r="A37" s="199"/>
      <c r="B37" s="199"/>
      <c r="C37" s="199"/>
      <c r="D37" s="199"/>
      <c r="E37" s="199"/>
      <c r="F37" s="199"/>
      <c r="G37" s="199"/>
      <c r="H37" s="199"/>
      <c r="I37" s="79"/>
    </row>
    <row r="38" spans="1:14" ht="18" x14ac:dyDescent="0.25">
      <c r="A38" s="199"/>
      <c r="B38" s="199"/>
      <c r="C38" s="199"/>
      <c r="D38" s="199"/>
      <c r="E38" s="199"/>
      <c r="F38" s="199"/>
      <c r="G38" s="199"/>
      <c r="H38" s="199"/>
      <c r="I38" s="10"/>
    </row>
    <row r="39" spans="1:14" ht="18" x14ac:dyDescent="0.25">
      <c r="A39" s="199"/>
      <c r="B39" s="199"/>
      <c r="C39" s="199"/>
      <c r="D39" s="199"/>
      <c r="E39" s="199"/>
      <c r="F39" s="199"/>
      <c r="G39" s="199"/>
      <c r="H39" s="199"/>
      <c r="I39" s="80"/>
    </row>
    <row r="40" spans="1:14" x14ac:dyDescent="0.25">
      <c r="A40" s="199"/>
      <c r="B40" s="199"/>
      <c r="C40" s="199"/>
      <c r="D40" s="199"/>
      <c r="E40" s="199"/>
      <c r="F40" s="199"/>
      <c r="G40" s="199"/>
      <c r="H40" s="199"/>
    </row>
    <row r="41" spans="1:14" x14ac:dyDescent="0.25">
      <c r="A41" s="199"/>
      <c r="B41" s="199"/>
      <c r="C41" s="199"/>
      <c r="D41" s="199"/>
      <c r="E41" s="199"/>
      <c r="F41" s="199"/>
      <c r="G41" s="199"/>
      <c r="H41" s="199"/>
    </row>
    <row r="42" spans="1:14" x14ac:dyDescent="0.25">
      <c r="A42" s="199"/>
      <c r="B42" s="199"/>
      <c r="C42" s="199"/>
      <c r="D42" s="199"/>
      <c r="E42" s="199"/>
      <c r="F42" s="199"/>
      <c r="G42" s="199"/>
      <c r="H42" s="199"/>
    </row>
    <row r="43" spans="1:14" x14ac:dyDescent="0.25">
      <c r="A43" s="199"/>
      <c r="B43" s="199"/>
      <c r="C43" s="199"/>
      <c r="D43" s="199"/>
      <c r="E43" s="199"/>
      <c r="F43" s="199"/>
      <c r="G43" s="199"/>
      <c r="H43" s="199"/>
    </row>
    <row r="44" spans="1:14" x14ac:dyDescent="0.25">
      <c r="A44" s="199"/>
      <c r="B44" s="199"/>
      <c r="C44" s="199"/>
      <c r="D44" s="199"/>
      <c r="E44" s="199"/>
      <c r="F44" s="199"/>
      <c r="G44" s="199"/>
      <c r="H44" s="199"/>
    </row>
    <row r="45" spans="1:14" x14ac:dyDescent="0.25">
      <c r="A45" s="199"/>
      <c r="B45" s="199"/>
      <c r="C45" s="199"/>
      <c r="D45" s="199"/>
      <c r="E45" s="199"/>
      <c r="F45" s="199"/>
      <c r="G45" s="199"/>
      <c r="H45" s="199"/>
    </row>
    <row r="46" spans="1:14" x14ac:dyDescent="0.25">
      <c r="A46" s="199"/>
      <c r="B46" s="199"/>
      <c r="C46" s="199"/>
      <c r="D46" s="199"/>
      <c r="E46" s="199"/>
      <c r="F46" s="199"/>
      <c r="G46" s="199"/>
      <c r="H46" s="199"/>
    </row>
    <row r="47" spans="1:14" x14ac:dyDescent="0.25">
      <c r="A47" s="199"/>
      <c r="B47" s="199"/>
      <c r="C47" s="199"/>
      <c r="D47" s="199"/>
      <c r="E47" s="199"/>
      <c r="F47" s="199"/>
      <c r="G47" s="199"/>
      <c r="H47" s="199"/>
    </row>
    <row r="48" spans="1:14" x14ac:dyDescent="0.25">
      <c r="A48" s="199"/>
      <c r="B48" s="199"/>
      <c r="C48" s="199"/>
      <c r="D48" s="199"/>
      <c r="E48" s="199"/>
      <c r="F48" s="199"/>
      <c r="G48" s="199"/>
      <c r="H48" s="199"/>
    </row>
    <row r="49" spans="1:8" x14ac:dyDescent="0.25">
      <c r="A49" s="199"/>
      <c r="B49" s="199"/>
      <c r="C49" s="199"/>
      <c r="D49" s="199"/>
      <c r="E49" s="199"/>
      <c r="F49" s="199"/>
      <c r="G49" s="199"/>
      <c r="H49" s="199"/>
    </row>
    <row r="50" spans="1:8" x14ac:dyDescent="0.25">
      <c r="A50" s="199"/>
      <c r="B50" s="199"/>
      <c r="C50" s="199"/>
      <c r="D50" s="199"/>
      <c r="E50" s="199"/>
      <c r="F50" s="199"/>
      <c r="G50" s="199"/>
      <c r="H50" s="199"/>
    </row>
    <row r="51" spans="1:8" x14ac:dyDescent="0.25">
      <c r="A51" s="199"/>
      <c r="B51" s="199"/>
      <c r="C51" s="199"/>
      <c r="D51" s="199"/>
      <c r="E51" s="199"/>
      <c r="F51" s="199"/>
      <c r="G51" s="199"/>
      <c r="H51" s="199"/>
    </row>
    <row r="52" spans="1:8" x14ac:dyDescent="0.25">
      <c r="A52" s="199"/>
      <c r="B52" s="199"/>
      <c r="C52" s="199"/>
      <c r="D52" s="199"/>
      <c r="E52" s="199"/>
      <c r="F52" s="199"/>
      <c r="G52" s="199"/>
      <c r="H52" s="199"/>
    </row>
    <row r="53" spans="1:8" x14ac:dyDescent="0.25">
      <c r="A53" s="199"/>
      <c r="B53" s="199"/>
      <c r="C53" s="199"/>
      <c r="D53" s="199"/>
      <c r="E53" s="199"/>
      <c r="F53" s="199"/>
      <c r="G53" s="199"/>
      <c r="H53" s="199"/>
    </row>
    <row r="54" spans="1:8" x14ac:dyDescent="0.25">
      <c r="A54" s="199"/>
      <c r="B54" s="199"/>
      <c r="C54" s="199"/>
      <c r="D54" s="199"/>
      <c r="E54" s="199"/>
      <c r="F54" s="199"/>
      <c r="G54" s="199"/>
      <c r="H54" s="199"/>
    </row>
    <row r="55" spans="1:8" x14ac:dyDescent="0.25">
      <c r="A55" s="199"/>
      <c r="B55" s="199"/>
      <c r="C55" s="199"/>
      <c r="D55" s="199"/>
      <c r="E55" s="199"/>
      <c r="F55" s="199"/>
      <c r="G55" s="199"/>
      <c r="H55" s="199"/>
    </row>
    <row r="56" spans="1:8" x14ac:dyDescent="0.25">
      <c r="A56" s="199"/>
      <c r="B56" s="199"/>
      <c r="C56" s="199"/>
      <c r="D56" s="199"/>
      <c r="E56" s="199"/>
      <c r="F56" s="199"/>
      <c r="G56" s="199"/>
      <c r="H56" s="199"/>
    </row>
    <row r="57" spans="1:8" x14ac:dyDescent="0.25">
      <c r="A57" s="199"/>
      <c r="B57" s="199"/>
      <c r="C57" s="199"/>
      <c r="D57" s="199"/>
      <c r="E57" s="199"/>
      <c r="F57" s="199"/>
      <c r="G57" s="199"/>
      <c r="H57" s="199"/>
    </row>
    <row r="58" spans="1:8" x14ac:dyDescent="0.25">
      <c r="A58" s="199"/>
      <c r="B58" s="199"/>
      <c r="C58" s="199"/>
      <c r="D58" s="199"/>
      <c r="E58" s="199"/>
      <c r="F58" s="199"/>
      <c r="G58" s="199"/>
      <c r="H58" s="199"/>
    </row>
    <row r="59" spans="1:8" x14ac:dyDescent="0.25">
      <c r="A59" s="199"/>
      <c r="B59" s="199"/>
      <c r="C59" s="199"/>
      <c r="D59" s="199"/>
      <c r="E59" s="199"/>
      <c r="F59" s="199"/>
      <c r="G59" s="199"/>
      <c r="H59" s="199"/>
    </row>
    <row r="60" spans="1:8" x14ac:dyDescent="0.25">
      <c r="A60" s="199"/>
      <c r="B60" s="199"/>
      <c r="C60" s="199"/>
      <c r="D60" s="199"/>
      <c r="E60" s="199"/>
      <c r="F60" s="199"/>
      <c r="G60" s="199"/>
      <c r="H60" s="199"/>
    </row>
    <row r="61" spans="1:8" x14ac:dyDescent="0.25">
      <c r="A61" s="199"/>
      <c r="B61" s="199"/>
      <c r="C61" s="199"/>
      <c r="D61" s="199"/>
      <c r="E61" s="199"/>
      <c r="F61" s="199"/>
      <c r="G61" s="199"/>
      <c r="H61" s="199"/>
    </row>
    <row r="62" spans="1:8" x14ac:dyDescent="0.25">
      <c r="A62" s="199"/>
      <c r="B62" s="199"/>
      <c r="C62" s="199"/>
      <c r="D62" s="199"/>
      <c r="E62" s="199"/>
      <c r="F62" s="199"/>
      <c r="G62" s="199"/>
      <c r="H62" s="199"/>
    </row>
    <row r="63" spans="1:8" x14ac:dyDescent="0.25">
      <c r="A63" s="199"/>
      <c r="B63" s="199"/>
      <c r="C63" s="199"/>
      <c r="D63" s="199"/>
      <c r="E63" s="199"/>
      <c r="F63" s="199"/>
      <c r="G63" s="199"/>
      <c r="H63" s="199"/>
    </row>
    <row r="64" spans="1:8" x14ac:dyDescent="0.25">
      <c r="A64" s="199"/>
      <c r="B64" s="199"/>
      <c r="C64" s="199"/>
      <c r="D64" s="199"/>
      <c r="E64" s="199"/>
      <c r="F64" s="199"/>
      <c r="G64" s="199"/>
      <c r="H64" s="199"/>
    </row>
    <row r="65" spans="1:8" x14ac:dyDescent="0.25">
      <c r="A65" s="199"/>
      <c r="B65" s="199"/>
      <c r="C65" s="199"/>
      <c r="D65" s="199"/>
      <c r="E65" s="199"/>
      <c r="F65" s="199"/>
      <c r="G65" s="199"/>
      <c r="H65" s="199"/>
    </row>
    <row r="66" spans="1:8" x14ac:dyDescent="0.25">
      <c r="A66" s="199"/>
      <c r="B66" s="199"/>
      <c r="C66" s="199"/>
      <c r="D66" s="199"/>
      <c r="E66" s="199"/>
      <c r="F66" s="199"/>
      <c r="G66" s="199"/>
      <c r="H66" s="199"/>
    </row>
    <row r="67" spans="1:8" x14ac:dyDescent="0.25">
      <c r="A67" s="199"/>
      <c r="B67" s="199"/>
      <c r="C67" s="199"/>
      <c r="D67" s="199"/>
      <c r="E67" s="199"/>
      <c r="F67" s="199"/>
      <c r="G67" s="199"/>
      <c r="H67" s="199"/>
    </row>
    <row r="68" spans="1:8" x14ac:dyDescent="0.25">
      <c r="A68" s="199"/>
      <c r="B68" s="199"/>
      <c r="C68" s="199"/>
      <c r="D68" s="199"/>
      <c r="E68" s="199"/>
      <c r="F68" s="199"/>
      <c r="G68" s="199"/>
      <c r="H68" s="199"/>
    </row>
    <row r="69" spans="1:8" x14ac:dyDescent="0.25">
      <c r="A69" s="199"/>
      <c r="B69" s="199"/>
      <c r="C69" s="199"/>
      <c r="D69" s="199"/>
      <c r="E69" s="199"/>
      <c r="F69" s="199"/>
      <c r="G69" s="199"/>
      <c r="H69" s="199"/>
    </row>
    <row r="70" spans="1:8" x14ac:dyDescent="0.25">
      <c r="A70" s="199"/>
      <c r="B70" s="199"/>
      <c r="C70" s="199"/>
      <c r="D70" s="199"/>
      <c r="E70" s="199"/>
      <c r="F70" s="199"/>
      <c r="G70" s="199"/>
      <c r="H70" s="199"/>
    </row>
    <row r="71" spans="1:8" x14ac:dyDescent="0.25">
      <c r="A71" s="199"/>
      <c r="B71" s="199"/>
      <c r="C71" s="199"/>
      <c r="D71" s="199"/>
      <c r="E71" s="199"/>
      <c r="F71" s="199"/>
      <c r="G71" s="199"/>
      <c r="H71" s="199"/>
    </row>
    <row r="72" spans="1:8" x14ac:dyDescent="0.25">
      <c r="A72" s="199"/>
      <c r="B72" s="199"/>
      <c r="C72" s="199"/>
      <c r="D72" s="199"/>
      <c r="E72" s="199"/>
      <c r="F72" s="199"/>
      <c r="G72" s="199"/>
      <c r="H72" s="199"/>
    </row>
    <row r="73" spans="1:8" x14ac:dyDescent="0.25">
      <c r="A73" s="199"/>
      <c r="B73" s="199"/>
      <c r="C73" s="199"/>
      <c r="D73" s="199"/>
      <c r="E73" s="199"/>
      <c r="F73" s="199"/>
      <c r="G73" s="199"/>
      <c r="H73" s="199"/>
    </row>
    <row r="74" spans="1:8" x14ac:dyDescent="0.25">
      <c r="A74" s="199"/>
      <c r="B74" s="199"/>
      <c r="C74" s="199"/>
      <c r="D74" s="199"/>
      <c r="E74" s="199"/>
      <c r="F74" s="199"/>
      <c r="G74" s="199"/>
      <c r="H74" s="199"/>
    </row>
    <row r="75" spans="1:8" x14ac:dyDescent="0.25">
      <c r="A75" s="199"/>
      <c r="B75" s="199"/>
      <c r="C75" s="199"/>
      <c r="D75" s="199"/>
      <c r="E75" s="199"/>
      <c r="F75" s="199"/>
      <c r="G75" s="199"/>
      <c r="H75" s="199"/>
    </row>
    <row r="76" spans="1:8" x14ac:dyDescent="0.25">
      <c r="A76" s="199"/>
      <c r="B76" s="199"/>
      <c r="C76" s="199"/>
      <c r="D76" s="199"/>
      <c r="E76" s="199"/>
      <c r="F76" s="199"/>
      <c r="G76" s="199"/>
      <c r="H76" s="199"/>
    </row>
    <row r="77" spans="1:8" x14ac:dyDescent="0.25">
      <c r="A77" s="199"/>
      <c r="B77" s="199"/>
      <c r="C77" s="199"/>
      <c r="D77" s="199"/>
      <c r="E77" s="199"/>
      <c r="F77" s="199"/>
      <c r="G77" s="199"/>
      <c r="H77" s="199"/>
    </row>
    <row r="78" spans="1:8" x14ac:dyDescent="0.25">
      <c r="A78" s="199"/>
      <c r="B78" s="199"/>
      <c r="C78" s="199"/>
      <c r="D78" s="199"/>
      <c r="E78" s="199"/>
      <c r="F78" s="199"/>
      <c r="G78" s="199"/>
      <c r="H78" s="199"/>
    </row>
    <row r="79" spans="1:8" x14ac:dyDescent="0.25">
      <c r="A79" s="199"/>
      <c r="B79" s="199"/>
      <c r="C79" s="199"/>
      <c r="D79" s="199"/>
      <c r="E79" s="199"/>
      <c r="F79" s="199"/>
      <c r="G79" s="199"/>
      <c r="H79" s="199"/>
    </row>
    <row r="80" spans="1:8" x14ac:dyDescent="0.25">
      <c r="A80" s="199"/>
      <c r="B80" s="199"/>
      <c r="C80" s="199"/>
      <c r="D80" s="199"/>
      <c r="E80" s="199"/>
      <c r="F80" s="199"/>
      <c r="G80" s="199"/>
      <c r="H80" s="199"/>
    </row>
    <row r="81" spans="1:8" x14ac:dyDescent="0.25">
      <c r="A81" s="199"/>
      <c r="B81" s="199"/>
      <c r="C81" s="199"/>
      <c r="D81" s="199"/>
      <c r="E81" s="199"/>
      <c r="F81" s="199"/>
      <c r="G81" s="199"/>
      <c r="H81" s="199"/>
    </row>
    <row r="82" spans="1:8" x14ac:dyDescent="0.25">
      <c r="A82" s="199"/>
      <c r="B82" s="199"/>
      <c r="C82" s="199"/>
      <c r="D82" s="199"/>
      <c r="E82" s="199"/>
      <c r="F82" s="199"/>
      <c r="G82" s="199"/>
      <c r="H82" s="199"/>
    </row>
    <row r="83" spans="1:8" x14ac:dyDescent="0.25">
      <c r="A83" s="199"/>
      <c r="B83" s="199"/>
      <c r="C83" s="199"/>
      <c r="D83" s="199"/>
      <c r="E83" s="199"/>
      <c r="F83" s="199"/>
      <c r="G83" s="199"/>
      <c r="H83" s="199"/>
    </row>
    <row r="84" spans="1:8" x14ac:dyDescent="0.25">
      <c r="A84" s="199"/>
      <c r="B84" s="199"/>
      <c r="C84" s="199"/>
      <c r="D84" s="199"/>
      <c r="E84" s="199"/>
      <c r="F84" s="199"/>
      <c r="G84" s="199"/>
      <c r="H84" s="199"/>
    </row>
    <row r="85" spans="1:8" x14ac:dyDescent="0.25">
      <c r="A85" s="199"/>
      <c r="B85" s="199"/>
      <c r="C85" s="199"/>
      <c r="D85" s="199"/>
      <c r="E85" s="199"/>
      <c r="F85" s="199"/>
      <c r="G85" s="199"/>
      <c r="H85" s="199"/>
    </row>
    <row r="86" spans="1:8" x14ac:dyDescent="0.25">
      <c r="A86" s="199"/>
      <c r="B86" s="199"/>
      <c r="C86" s="199"/>
      <c r="D86" s="199"/>
      <c r="E86" s="199"/>
      <c r="F86" s="199"/>
      <c r="G86" s="199"/>
      <c r="H86" s="199"/>
    </row>
    <row r="87" spans="1:8" x14ac:dyDescent="0.25">
      <c r="A87" s="199"/>
      <c r="B87" s="199"/>
      <c r="C87" s="199"/>
      <c r="D87" s="199"/>
      <c r="E87" s="199"/>
      <c r="F87" s="199"/>
      <c r="G87" s="199"/>
      <c r="H87" s="199"/>
    </row>
    <row r="88" spans="1:8" x14ac:dyDescent="0.25">
      <c r="A88" s="199"/>
      <c r="B88" s="199"/>
      <c r="C88" s="199"/>
      <c r="D88" s="199"/>
      <c r="E88" s="199"/>
      <c r="F88" s="199"/>
      <c r="G88" s="199"/>
      <c r="H88" s="199"/>
    </row>
    <row r="89" spans="1:8" x14ac:dyDescent="0.25">
      <c r="A89" s="199"/>
      <c r="B89" s="199"/>
      <c r="C89" s="199"/>
      <c r="D89" s="199"/>
      <c r="E89" s="199"/>
      <c r="F89" s="199"/>
      <c r="G89" s="199"/>
      <c r="H89" s="199"/>
    </row>
    <row r="90" spans="1:8" x14ac:dyDescent="0.25">
      <c r="A90" s="199"/>
      <c r="B90" s="199"/>
      <c r="C90" s="199"/>
      <c r="D90" s="199"/>
      <c r="E90" s="199"/>
      <c r="F90" s="199"/>
      <c r="G90" s="199"/>
      <c r="H90" s="199"/>
    </row>
    <row r="91" spans="1:8" x14ac:dyDescent="0.25">
      <c r="A91" s="199"/>
      <c r="B91" s="199"/>
      <c r="C91" s="199"/>
      <c r="D91" s="199"/>
      <c r="E91" s="199"/>
      <c r="F91" s="199"/>
      <c r="G91" s="199"/>
      <c r="H91" s="199"/>
    </row>
    <row r="92" spans="1:8" x14ac:dyDescent="0.25">
      <c r="A92" s="199"/>
      <c r="B92" s="199"/>
      <c r="C92" s="199"/>
      <c r="D92" s="199"/>
      <c r="E92" s="199"/>
      <c r="F92" s="199"/>
      <c r="G92" s="199"/>
      <c r="H92" s="199"/>
    </row>
    <row r="93" spans="1:8" x14ac:dyDescent="0.25">
      <c r="A93" s="199"/>
      <c r="B93" s="199"/>
      <c r="C93" s="199"/>
      <c r="D93" s="199"/>
      <c r="E93" s="199"/>
      <c r="F93" s="199"/>
      <c r="G93" s="199"/>
      <c r="H93" s="199"/>
    </row>
    <row r="94" spans="1:8" x14ac:dyDescent="0.25">
      <c r="A94" s="199"/>
      <c r="B94" s="199"/>
      <c r="C94" s="199"/>
      <c r="D94" s="199"/>
      <c r="E94" s="199"/>
      <c r="F94" s="199"/>
      <c r="G94" s="199"/>
      <c r="H94" s="199"/>
    </row>
    <row r="95" spans="1:8" x14ac:dyDescent="0.25">
      <c r="A95" s="199"/>
      <c r="B95" s="199"/>
      <c r="C95" s="199"/>
      <c r="D95" s="199"/>
      <c r="E95" s="199"/>
      <c r="F95" s="199"/>
      <c r="G95" s="199"/>
      <c r="H95" s="199"/>
    </row>
    <row r="96" spans="1:8" x14ac:dyDescent="0.25">
      <c r="A96" s="199"/>
      <c r="B96" s="199"/>
      <c r="C96" s="199"/>
      <c r="D96" s="199"/>
      <c r="E96" s="199"/>
      <c r="F96" s="199"/>
      <c r="G96" s="199"/>
      <c r="H96" s="199"/>
    </row>
    <row r="97" spans="1:8" x14ac:dyDescent="0.25">
      <c r="A97" s="199"/>
      <c r="B97" s="199"/>
      <c r="C97" s="199"/>
      <c r="D97" s="199"/>
      <c r="E97" s="199"/>
      <c r="F97" s="199"/>
      <c r="G97" s="199"/>
      <c r="H97" s="199"/>
    </row>
    <row r="98" spans="1:8" x14ac:dyDescent="0.25">
      <c r="A98" s="199"/>
      <c r="B98" s="199"/>
      <c r="C98" s="199"/>
      <c r="D98" s="199"/>
      <c r="E98" s="199"/>
      <c r="F98" s="199"/>
      <c r="G98" s="199"/>
      <c r="H98" s="199"/>
    </row>
    <row r="99" spans="1:8" x14ac:dyDescent="0.25">
      <c r="A99" s="199"/>
      <c r="B99" s="199"/>
      <c r="C99" s="199"/>
      <c r="D99" s="199"/>
      <c r="E99" s="199"/>
      <c r="F99" s="199"/>
      <c r="G99" s="199"/>
      <c r="H99" s="199"/>
    </row>
    <row r="100" spans="1:8" x14ac:dyDescent="0.25">
      <c r="A100" s="199"/>
      <c r="B100" s="199"/>
      <c r="C100" s="199"/>
      <c r="D100" s="199"/>
      <c r="E100" s="199"/>
      <c r="F100" s="199"/>
      <c r="G100" s="199"/>
      <c r="H100" s="199"/>
    </row>
    <row r="101" spans="1:8" x14ac:dyDescent="0.25">
      <c r="A101" s="199"/>
      <c r="B101" s="199"/>
      <c r="C101" s="199"/>
      <c r="D101" s="199"/>
      <c r="E101" s="199"/>
      <c r="F101" s="199"/>
      <c r="G101" s="199"/>
      <c r="H101" s="199"/>
    </row>
    <row r="102" spans="1:8" x14ac:dyDescent="0.25">
      <c r="A102" s="199"/>
      <c r="B102" s="199"/>
      <c r="C102" s="199"/>
      <c r="D102" s="199"/>
      <c r="E102" s="199"/>
      <c r="F102" s="199"/>
      <c r="G102" s="199"/>
      <c r="H102" s="199"/>
    </row>
    <row r="103" spans="1:8" x14ac:dyDescent="0.25">
      <c r="A103" s="199"/>
      <c r="B103" s="199"/>
      <c r="C103" s="199"/>
      <c r="D103" s="199"/>
      <c r="E103" s="199"/>
      <c r="F103" s="199"/>
      <c r="G103" s="199"/>
      <c r="H103" s="199"/>
    </row>
    <row r="104" spans="1:8" x14ac:dyDescent="0.25">
      <c r="A104" s="199"/>
      <c r="B104" s="199"/>
      <c r="C104" s="199"/>
      <c r="D104" s="199"/>
      <c r="E104" s="199"/>
      <c r="F104" s="199"/>
      <c r="G104" s="199"/>
      <c r="H104" s="199"/>
    </row>
    <row r="105" spans="1:8" x14ac:dyDescent="0.25">
      <c r="A105" s="199"/>
      <c r="B105" s="199"/>
      <c r="C105" s="199"/>
      <c r="D105" s="199"/>
      <c r="E105" s="199"/>
      <c r="F105" s="199"/>
      <c r="G105" s="199"/>
      <c r="H105" s="199"/>
    </row>
    <row r="106" spans="1:8" x14ac:dyDescent="0.25">
      <c r="A106" s="199"/>
      <c r="B106" s="199"/>
      <c r="C106" s="199"/>
      <c r="D106" s="199"/>
      <c r="E106" s="199"/>
      <c r="F106" s="199"/>
      <c r="G106" s="199"/>
      <c r="H106" s="199"/>
    </row>
    <row r="107" spans="1:8" x14ac:dyDescent="0.25">
      <c r="A107" s="199"/>
      <c r="B107" s="199"/>
      <c r="C107" s="199"/>
      <c r="D107" s="199"/>
      <c r="E107" s="199"/>
      <c r="F107" s="199"/>
      <c r="G107" s="199"/>
      <c r="H107" s="199"/>
    </row>
    <row r="108" spans="1:8" x14ac:dyDescent="0.25">
      <c r="A108" s="199"/>
      <c r="B108" s="199"/>
      <c r="C108" s="199"/>
      <c r="D108" s="199"/>
      <c r="E108" s="199"/>
      <c r="F108" s="199"/>
      <c r="G108" s="199"/>
      <c r="H108" s="199"/>
    </row>
    <row r="109" spans="1:8" x14ac:dyDescent="0.25">
      <c r="A109" s="199"/>
      <c r="B109" s="199"/>
      <c r="C109" s="199"/>
      <c r="D109" s="199"/>
      <c r="E109" s="199"/>
      <c r="F109" s="199"/>
      <c r="G109" s="199"/>
      <c r="H109" s="199"/>
    </row>
    <row r="110" spans="1:8" x14ac:dyDescent="0.25">
      <c r="A110" s="199"/>
      <c r="B110" s="199"/>
      <c r="C110" s="199"/>
      <c r="D110" s="199"/>
      <c r="E110" s="199"/>
      <c r="F110" s="199"/>
      <c r="G110" s="199"/>
      <c r="H110" s="199"/>
    </row>
    <row r="111" spans="1:8" x14ac:dyDescent="0.25">
      <c r="A111" s="199"/>
      <c r="B111" s="199"/>
      <c r="C111" s="199"/>
      <c r="D111" s="199"/>
      <c r="E111" s="199"/>
      <c r="F111" s="199"/>
      <c r="G111" s="199"/>
      <c r="H111" s="199"/>
    </row>
    <row r="112" spans="1:8" x14ac:dyDescent="0.25">
      <c r="A112" s="199"/>
      <c r="B112" s="199"/>
      <c r="C112" s="199"/>
      <c r="D112" s="199"/>
      <c r="E112" s="199"/>
      <c r="F112" s="199"/>
      <c r="G112" s="199"/>
      <c r="H112" s="199"/>
    </row>
    <row r="113" spans="1:8" x14ac:dyDescent="0.25">
      <c r="A113" s="199"/>
      <c r="B113" s="199"/>
      <c r="C113" s="199"/>
      <c r="D113" s="199"/>
      <c r="E113" s="199"/>
      <c r="F113" s="199"/>
      <c r="G113" s="199"/>
      <c r="H113" s="199"/>
    </row>
    <row r="114" spans="1:8" x14ac:dyDescent="0.25">
      <c r="A114" s="199"/>
      <c r="B114" s="199"/>
      <c r="C114" s="199"/>
      <c r="D114" s="199"/>
      <c r="E114" s="199"/>
      <c r="F114" s="199"/>
      <c r="G114" s="199"/>
      <c r="H114" s="199"/>
    </row>
    <row r="115" spans="1:8" x14ac:dyDescent="0.25">
      <c r="A115" s="199"/>
      <c r="B115" s="199"/>
      <c r="C115" s="199"/>
      <c r="D115" s="199"/>
      <c r="E115" s="199"/>
      <c r="F115" s="199"/>
      <c r="G115" s="199"/>
      <c r="H115" s="199"/>
    </row>
    <row r="116" spans="1:8" x14ac:dyDescent="0.25">
      <c r="A116" s="199"/>
      <c r="B116" s="199"/>
      <c r="C116" s="199"/>
      <c r="D116" s="199"/>
      <c r="E116" s="199"/>
      <c r="F116" s="199"/>
      <c r="G116" s="199"/>
      <c r="H116" s="199"/>
    </row>
    <row r="117" spans="1:8" x14ac:dyDescent="0.25">
      <c r="A117" s="199"/>
      <c r="B117" s="199"/>
      <c r="C117" s="199"/>
      <c r="D117" s="199"/>
      <c r="E117" s="199"/>
      <c r="F117" s="199"/>
      <c r="G117" s="199"/>
      <c r="H117" s="199"/>
    </row>
    <row r="118" spans="1:8" x14ac:dyDescent="0.25">
      <c r="A118" s="199"/>
      <c r="B118" s="199"/>
      <c r="C118" s="199"/>
      <c r="D118" s="199"/>
      <c r="E118" s="199"/>
      <c r="F118" s="199"/>
      <c r="G118" s="199"/>
      <c r="H118" s="199"/>
    </row>
    <row r="119" spans="1:8" x14ac:dyDescent="0.25">
      <c r="A119" s="199"/>
      <c r="B119" s="199"/>
      <c r="C119" s="199"/>
      <c r="D119" s="199"/>
      <c r="E119" s="199"/>
      <c r="F119" s="199"/>
      <c r="G119" s="199"/>
      <c r="H119" s="199"/>
    </row>
    <row r="120" spans="1:8" x14ac:dyDescent="0.25">
      <c r="A120" s="199"/>
      <c r="B120" s="199"/>
      <c r="C120" s="199"/>
      <c r="D120" s="199"/>
      <c r="E120" s="199"/>
      <c r="F120" s="199"/>
      <c r="G120" s="199"/>
      <c r="H120" s="199"/>
    </row>
    <row r="121" spans="1:8" x14ac:dyDescent="0.25">
      <c r="A121" s="199"/>
      <c r="B121" s="199"/>
      <c r="C121" s="199"/>
      <c r="D121" s="199"/>
      <c r="E121" s="199"/>
      <c r="F121" s="199"/>
      <c r="G121" s="199"/>
      <c r="H121" s="199"/>
    </row>
    <row r="122" spans="1:8" x14ac:dyDescent="0.25">
      <c r="A122" s="199"/>
      <c r="B122" s="199"/>
      <c r="C122" s="199"/>
      <c r="D122" s="199"/>
      <c r="E122" s="199"/>
      <c r="F122" s="199"/>
      <c r="G122" s="199"/>
      <c r="H122" s="199"/>
    </row>
    <row r="123" spans="1:8" x14ac:dyDescent="0.25">
      <c r="A123" s="199"/>
      <c r="B123" s="199"/>
      <c r="C123" s="199"/>
      <c r="D123" s="199"/>
      <c r="E123" s="199"/>
      <c r="F123" s="199"/>
      <c r="G123" s="199"/>
      <c r="H123" s="199"/>
    </row>
    <row r="124" spans="1:8" x14ac:dyDescent="0.25">
      <c r="A124" s="199"/>
      <c r="B124" s="199"/>
      <c r="C124" s="199"/>
      <c r="D124" s="199"/>
      <c r="E124" s="199"/>
      <c r="F124" s="199"/>
      <c r="G124" s="199"/>
      <c r="H124" s="199"/>
    </row>
    <row r="125" spans="1:8" x14ac:dyDescent="0.25">
      <c r="A125" s="199"/>
      <c r="B125" s="199"/>
      <c r="C125" s="199"/>
      <c r="D125" s="199"/>
      <c r="E125" s="199"/>
      <c r="F125" s="199"/>
      <c r="G125" s="199"/>
      <c r="H125" s="199"/>
    </row>
    <row r="126" spans="1:8" x14ac:dyDescent="0.25">
      <c r="A126" s="199"/>
      <c r="B126" s="199"/>
      <c r="C126" s="199"/>
      <c r="D126" s="199"/>
      <c r="E126" s="199"/>
      <c r="F126" s="199"/>
      <c r="G126" s="199"/>
      <c r="H126" s="199"/>
    </row>
    <row r="127" spans="1:8" x14ac:dyDescent="0.25">
      <c r="A127" s="199"/>
      <c r="B127" s="199"/>
      <c r="C127" s="199"/>
      <c r="D127" s="199"/>
      <c r="E127" s="199"/>
      <c r="F127" s="199"/>
      <c r="G127" s="199"/>
      <c r="H127" s="199"/>
    </row>
    <row r="128" spans="1:8" x14ac:dyDescent="0.25">
      <c r="A128" s="199"/>
      <c r="B128" s="199"/>
      <c r="C128" s="199"/>
      <c r="D128" s="199"/>
      <c r="E128" s="199"/>
      <c r="F128" s="199"/>
      <c r="G128" s="199"/>
      <c r="H128" s="199"/>
    </row>
    <row r="129" spans="1:8" x14ac:dyDescent="0.25">
      <c r="A129" s="199"/>
      <c r="B129" s="199"/>
      <c r="C129" s="199"/>
      <c r="D129" s="199"/>
      <c r="E129" s="199"/>
      <c r="F129" s="199"/>
      <c r="G129" s="199"/>
      <c r="H129" s="199"/>
    </row>
    <row r="130" spans="1:8" x14ac:dyDescent="0.25">
      <c r="A130" s="199"/>
      <c r="B130" s="199"/>
      <c r="C130" s="199"/>
      <c r="D130" s="199"/>
      <c r="E130" s="199"/>
      <c r="F130" s="199"/>
      <c r="G130" s="199"/>
      <c r="H130" s="199"/>
    </row>
    <row r="131" spans="1:8" x14ac:dyDescent="0.25">
      <c r="A131" s="199"/>
      <c r="B131" s="199"/>
      <c r="C131" s="199"/>
      <c r="D131" s="199"/>
      <c r="E131" s="199"/>
      <c r="F131" s="199"/>
      <c r="G131" s="199"/>
      <c r="H131" s="199"/>
    </row>
    <row r="132" spans="1:8" x14ac:dyDescent="0.25">
      <c r="A132" s="199"/>
      <c r="B132" s="199"/>
      <c r="C132" s="199"/>
      <c r="D132" s="199"/>
      <c r="E132" s="199"/>
      <c r="F132" s="199"/>
      <c r="G132" s="199"/>
      <c r="H132" s="199"/>
    </row>
    <row r="133" spans="1:8" x14ac:dyDescent="0.25">
      <c r="A133" s="199"/>
      <c r="B133" s="199"/>
      <c r="C133" s="199"/>
      <c r="D133" s="199"/>
      <c r="E133" s="199"/>
      <c r="F133" s="199"/>
      <c r="G133" s="199"/>
      <c r="H133" s="199"/>
    </row>
    <row r="134" spans="1:8" x14ac:dyDescent="0.25">
      <c r="A134" s="199"/>
      <c r="B134" s="199"/>
      <c r="C134" s="199"/>
      <c r="D134" s="199"/>
      <c r="E134" s="199"/>
      <c r="F134" s="199"/>
      <c r="G134" s="199"/>
      <c r="H134" s="199"/>
    </row>
    <row r="135" spans="1:8" x14ac:dyDescent="0.25">
      <c r="A135" s="199"/>
      <c r="B135" s="199"/>
      <c r="C135" s="199"/>
      <c r="D135" s="199"/>
      <c r="E135" s="199"/>
      <c r="F135" s="199"/>
      <c r="G135" s="199"/>
      <c r="H135" s="199"/>
    </row>
    <row r="136" spans="1:8" x14ac:dyDescent="0.25">
      <c r="A136" s="199"/>
      <c r="B136" s="199"/>
      <c r="C136" s="199"/>
      <c r="D136" s="199"/>
      <c r="E136" s="199"/>
      <c r="F136" s="199"/>
      <c r="G136" s="199"/>
      <c r="H136" s="199"/>
    </row>
    <row r="137" spans="1:8" x14ac:dyDescent="0.25">
      <c r="A137" s="199"/>
      <c r="B137" s="199"/>
      <c r="C137" s="199"/>
      <c r="D137" s="199"/>
      <c r="E137" s="199"/>
      <c r="F137" s="199"/>
      <c r="G137" s="199"/>
      <c r="H137" s="199"/>
    </row>
    <row r="138" spans="1:8" x14ac:dyDescent="0.25">
      <c r="A138" s="199"/>
      <c r="B138" s="199"/>
      <c r="C138" s="199"/>
      <c r="D138" s="199"/>
      <c r="E138" s="199"/>
      <c r="F138" s="199"/>
      <c r="G138" s="199"/>
      <c r="H138" s="199"/>
    </row>
    <row r="139" spans="1:8" x14ac:dyDescent="0.25">
      <c r="A139" s="199"/>
      <c r="B139" s="199"/>
      <c r="C139" s="199"/>
      <c r="D139" s="199"/>
      <c r="E139" s="199"/>
      <c r="F139" s="199"/>
      <c r="G139" s="199"/>
      <c r="H139" s="199"/>
    </row>
    <row r="140" spans="1:8" x14ac:dyDescent="0.25">
      <c r="A140" s="199"/>
      <c r="B140" s="199"/>
      <c r="C140" s="199"/>
      <c r="D140" s="199"/>
      <c r="E140" s="199"/>
      <c r="F140" s="199"/>
      <c r="G140" s="199"/>
      <c r="H140" s="199"/>
    </row>
    <row r="141" spans="1:8" x14ac:dyDescent="0.25">
      <c r="A141" s="199"/>
      <c r="B141" s="199"/>
      <c r="C141" s="199"/>
      <c r="D141" s="199"/>
      <c r="E141" s="199"/>
      <c r="F141" s="199"/>
      <c r="G141" s="199"/>
      <c r="H141" s="199"/>
    </row>
    <row r="142" spans="1:8" x14ac:dyDescent="0.25">
      <c r="A142" s="199"/>
      <c r="B142" s="199"/>
      <c r="C142" s="199"/>
      <c r="D142" s="199"/>
      <c r="E142" s="199"/>
      <c r="F142" s="199"/>
      <c r="G142" s="199"/>
      <c r="H142" s="199"/>
    </row>
    <row r="143" spans="1:8" x14ac:dyDescent="0.25">
      <c r="A143" s="199"/>
      <c r="B143" s="199"/>
      <c r="C143" s="199"/>
      <c r="D143" s="199"/>
      <c r="E143" s="199"/>
      <c r="F143" s="199"/>
      <c r="G143" s="199"/>
      <c r="H143" s="199"/>
    </row>
    <row r="144" spans="1:8" x14ac:dyDescent="0.25">
      <c r="A144" s="199"/>
      <c r="B144" s="199"/>
      <c r="C144" s="199"/>
      <c r="D144" s="199"/>
      <c r="E144" s="199"/>
      <c r="F144" s="199"/>
      <c r="G144" s="199"/>
      <c r="H144" s="199"/>
    </row>
    <row r="145" spans="1:8" x14ac:dyDescent="0.25">
      <c r="A145" s="199"/>
      <c r="B145" s="199"/>
      <c r="C145" s="199"/>
      <c r="D145" s="199"/>
      <c r="E145" s="199"/>
      <c r="F145" s="199"/>
      <c r="G145" s="199"/>
      <c r="H145" s="199"/>
    </row>
    <row r="146" spans="1:8" x14ac:dyDescent="0.25">
      <c r="A146" s="199"/>
      <c r="B146" s="199"/>
      <c r="C146" s="199"/>
      <c r="D146" s="199"/>
      <c r="E146" s="199"/>
      <c r="F146" s="199"/>
      <c r="G146" s="199"/>
      <c r="H146" s="199"/>
    </row>
    <row r="147" spans="1:8" x14ac:dyDescent="0.25">
      <c r="A147" s="199"/>
      <c r="B147" s="199"/>
      <c r="C147" s="199"/>
      <c r="D147" s="199"/>
      <c r="E147" s="199"/>
      <c r="F147" s="199"/>
      <c r="G147" s="199"/>
      <c r="H147" s="199"/>
    </row>
    <row r="148" spans="1:8" x14ac:dyDescent="0.25">
      <c r="A148" s="199"/>
      <c r="B148" s="199"/>
      <c r="C148" s="199"/>
      <c r="D148" s="199"/>
      <c r="E148" s="199"/>
      <c r="F148" s="199"/>
      <c r="G148" s="199"/>
      <c r="H148" s="199"/>
    </row>
    <row r="149" spans="1:8" x14ac:dyDescent="0.25">
      <c r="A149" s="199"/>
      <c r="B149" s="199"/>
      <c r="C149" s="199"/>
      <c r="D149" s="199"/>
      <c r="E149" s="199"/>
      <c r="F149" s="199"/>
      <c r="G149" s="199"/>
      <c r="H149" s="199"/>
    </row>
    <row r="150" spans="1:8" x14ac:dyDescent="0.25">
      <c r="A150" s="199"/>
      <c r="B150" s="199"/>
      <c r="C150" s="199"/>
      <c r="D150" s="199"/>
      <c r="E150" s="199"/>
      <c r="F150" s="199"/>
      <c r="G150" s="199"/>
      <c r="H150" s="199"/>
    </row>
    <row r="151" spans="1:8" x14ac:dyDescent="0.25">
      <c r="A151" s="199"/>
      <c r="B151" s="199"/>
      <c r="C151" s="199"/>
      <c r="D151" s="199"/>
      <c r="E151" s="199"/>
      <c r="F151" s="199"/>
      <c r="G151" s="199"/>
      <c r="H151" s="199"/>
    </row>
    <row r="152" spans="1:8" x14ac:dyDescent="0.25">
      <c r="A152" s="199"/>
      <c r="B152" s="199"/>
      <c r="C152" s="199"/>
      <c r="D152" s="199"/>
      <c r="E152" s="199"/>
      <c r="F152" s="199"/>
      <c r="G152" s="199"/>
      <c r="H152" s="199"/>
    </row>
    <row r="153" spans="1:8" x14ac:dyDescent="0.25">
      <c r="A153" s="199"/>
      <c r="B153" s="199"/>
      <c r="C153" s="199"/>
      <c r="D153" s="199"/>
      <c r="E153" s="199"/>
      <c r="F153" s="199"/>
      <c r="G153" s="199"/>
      <c r="H153" s="199"/>
    </row>
    <row r="154" spans="1:8" x14ac:dyDescent="0.25">
      <c r="A154" s="199"/>
      <c r="B154" s="199"/>
      <c r="C154" s="199"/>
      <c r="D154" s="199"/>
      <c r="E154" s="199"/>
      <c r="F154" s="199"/>
      <c r="G154" s="199"/>
      <c r="H154" s="199"/>
    </row>
    <row r="155" spans="1:8" x14ac:dyDescent="0.25">
      <c r="A155" s="199"/>
      <c r="B155" s="199"/>
      <c r="C155" s="199"/>
      <c r="D155" s="199"/>
      <c r="E155" s="199"/>
      <c r="F155" s="199"/>
      <c r="G155" s="199"/>
      <c r="H155" s="199"/>
    </row>
    <row r="156" spans="1:8" x14ac:dyDescent="0.25">
      <c r="A156" s="199"/>
      <c r="B156" s="199"/>
      <c r="C156" s="199"/>
      <c r="D156" s="199"/>
      <c r="E156" s="199"/>
      <c r="F156" s="199"/>
      <c r="G156" s="199"/>
      <c r="H156" s="199"/>
    </row>
    <row r="157" spans="1:8" x14ac:dyDescent="0.25">
      <c r="A157" s="199"/>
      <c r="B157" s="199"/>
      <c r="C157" s="199"/>
      <c r="D157" s="199"/>
      <c r="E157" s="199"/>
      <c r="F157" s="199"/>
      <c r="G157" s="199"/>
      <c r="H157" s="199"/>
    </row>
    <row r="158" spans="1:8" x14ac:dyDescent="0.25">
      <c r="A158" s="199"/>
      <c r="B158" s="199"/>
      <c r="C158" s="199"/>
      <c r="D158" s="199"/>
      <c r="E158" s="199"/>
      <c r="F158" s="199"/>
      <c r="G158" s="199"/>
      <c r="H158" s="199"/>
    </row>
    <row r="159" spans="1:8" x14ac:dyDescent="0.25">
      <c r="A159" s="199"/>
      <c r="B159" s="199"/>
      <c r="C159" s="199"/>
      <c r="D159" s="199"/>
      <c r="E159" s="199"/>
      <c r="F159" s="199"/>
      <c r="G159" s="199"/>
      <c r="H159" s="199"/>
    </row>
    <row r="160" spans="1:8" x14ac:dyDescent="0.25">
      <c r="A160" s="199"/>
      <c r="B160" s="199"/>
      <c r="C160" s="199"/>
      <c r="D160" s="199"/>
      <c r="E160" s="199"/>
      <c r="F160" s="199"/>
      <c r="G160" s="199"/>
      <c r="H160" s="199"/>
    </row>
    <row r="161" spans="1:8" x14ac:dyDescent="0.25">
      <c r="A161" s="199"/>
      <c r="B161" s="199"/>
      <c r="C161" s="199"/>
      <c r="D161" s="199"/>
      <c r="E161" s="199"/>
      <c r="F161" s="199"/>
      <c r="G161" s="199"/>
      <c r="H161" s="199"/>
    </row>
    <row r="162" spans="1:8" x14ac:dyDescent="0.25">
      <c r="A162" s="199"/>
      <c r="B162" s="199"/>
      <c r="C162" s="199"/>
      <c r="D162" s="199"/>
      <c r="E162" s="199"/>
      <c r="F162" s="199"/>
      <c r="G162" s="199"/>
      <c r="H162" s="199"/>
    </row>
    <row r="163" spans="1:8" x14ac:dyDescent="0.25">
      <c r="A163" s="199"/>
      <c r="B163" s="199"/>
      <c r="C163" s="199"/>
      <c r="D163" s="199"/>
      <c r="E163" s="199"/>
      <c r="F163" s="199"/>
      <c r="G163" s="199"/>
      <c r="H163" s="199"/>
    </row>
    <row r="164" spans="1:8" x14ac:dyDescent="0.25">
      <c r="A164" s="199"/>
      <c r="B164" s="199"/>
      <c r="C164" s="199"/>
      <c r="D164" s="199"/>
      <c r="E164" s="199"/>
      <c r="F164" s="199"/>
      <c r="G164" s="199"/>
      <c r="H164" s="199"/>
    </row>
    <row r="165" spans="1:8" x14ac:dyDescent="0.25">
      <c r="A165" s="199"/>
      <c r="B165" s="199"/>
      <c r="C165" s="199"/>
      <c r="D165" s="199"/>
      <c r="E165" s="199"/>
      <c r="F165" s="199"/>
      <c r="G165" s="199"/>
      <c r="H165" s="199"/>
    </row>
    <row r="166" spans="1:8" x14ac:dyDescent="0.25">
      <c r="A166" s="199"/>
      <c r="B166" s="199"/>
      <c r="C166" s="199"/>
      <c r="D166" s="199"/>
      <c r="E166" s="199"/>
      <c r="F166" s="199"/>
      <c r="G166" s="199"/>
      <c r="H166" s="199"/>
    </row>
    <row r="167" spans="1:8" x14ac:dyDescent="0.25">
      <c r="A167" s="199"/>
      <c r="B167" s="199"/>
    </row>
    <row r="168" spans="1:8" x14ac:dyDescent="0.25">
      <c r="A168" s="199"/>
      <c r="B168" s="199"/>
    </row>
  </sheetData>
  <conditionalFormatting sqref="A10:A12 B18 C16:E16">
    <cfRule type="containsText" dxfId="9" priority="3" operator="containsText" text="1-"/>
  </conditionalFormatting>
  <conditionalFormatting sqref="A18:A23">
    <cfRule type="containsText" dxfId="8" priority="4" operator="containsText" text="1-"/>
  </conditionalFormatting>
  <hyperlinks>
    <hyperlink ref="A19" r:id="rId1" xr:uid="{29EF90FF-E157-4787-8B2A-1D02C9AE2D1A}"/>
    <hyperlink ref="A20" r:id="rId2" xr:uid="{06C92907-12E4-446F-90E9-FCA27C876FC6}"/>
  </hyperlinks>
  <pageMargins left="0.7" right="0.7" top="0.75" bottom="0.75" header="0.51180555555555496" footer="0.51180555555555496"/>
  <pageSetup paperSize="3" firstPageNumber="0" fitToHeight="0" orientation="landscape" horizontalDpi="300" verticalDpi="300"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C23F2-6F93-4852-98BC-7A29383A4690}">
  <sheetPr>
    <tabColor theme="9"/>
  </sheetPr>
  <dimension ref="A1:J15"/>
  <sheetViews>
    <sheetView showGridLines="0" zoomScaleNormal="100" zoomScaleSheetLayoutView="100" workbookViewId="0">
      <selection activeCell="A2" sqref="A2:B10"/>
    </sheetView>
  </sheetViews>
  <sheetFormatPr defaultRowHeight="12" x14ac:dyDescent="0.2"/>
  <cols>
    <col min="1" max="1" width="18.42578125" style="228" customWidth="1"/>
    <col min="2" max="2" width="15.140625" style="222" customWidth="1"/>
    <col min="3" max="3" width="9.140625" style="222"/>
    <col min="4" max="16384" width="9.140625" style="228"/>
  </cols>
  <sheetData>
    <row r="1" spans="1:10" s="222" customFormat="1" ht="15" customHeight="1" x14ac:dyDescent="0.2">
      <c r="A1" s="227"/>
    </row>
    <row r="2" spans="1:10" ht="15" customHeight="1" x14ac:dyDescent="0.2">
      <c r="A2" s="615" t="s">
        <v>179</v>
      </c>
      <c r="B2" s="615"/>
    </row>
    <row r="3" spans="1:10" ht="15" customHeight="1" x14ac:dyDescent="0.2">
      <c r="A3" s="200"/>
      <c r="B3" s="235"/>
    </row>
    <row r="4" spans="1:10" ht="15" customHeight="1" x14ac:dyDescent="0.2">
      <c r="A4" s="202"/>
      <c r="B4" s="203">
        <v>642.50009999999997</v>
      </c>
    </row>
    <row r="5" spans="1:10" ht="15" customHeight="1" x14ac:dyDescent="0.2">
      <c r="A5" s="202"/>
      <c r="B5" s="211" t="s">
        <v>202</v>
      </c>
    </row>
    <row r="6" spans="1:10" ht="15" customHeight="1" thickBot="1" x14ac:dyDescent="0.25">
      <c r="A6" s="191" t="s">
        <v>174</v>
      </c>
      <c r="B6" s="217" t="s">
        <v>4</v>
      </c>
    </row>
    <row r="7" spans="1:10" ht="15" customHeight="1" thickTop="1" x14ac:dyDescent="0.2">
      <c r="A7" s="204"/>
      <c r="B7" s="205"/>
    </row>
    <row r="8" spans="1:10" ht="15" customHeight="1" x14ac:dyDescent="0.2">
      <c r="A8" s="202" t="s">
        <v>322</v>
      </c>
      <c r="B8" s="205">
        <v>1</v>
      </c>
    </row>
    <row r="9" spans="1:10" s="222" customFormat="1" ht="15" customHeight="1" x14ac:dyDescent="0.2">
      <c r="A9" s="214"/>
      <c r="B9" s="403"/>
      <c r="D9" s="228"/>
      <c r="E9" s="228"/>
      <c r="F9" s="228"/>
      <c r="G9" s="228"/>
      <c r="H9" s="228"/>
      <c r="I9" s="228"/>
      <c r="J9" s="228"/>
    </row>
    <row r="10" spans="1:10" s="222" customFormat="1" ht="15" customHeight="1" x14ac:dyDescent="0.2">
      <c r="A10" s="413" t="s">
        <v>163</v>
      </c>
      <c r="B10" s="417">
        <f>SUM(B8:B8)</f>
        <v>1</v>
      </c>
      <c r="D10" s="228"/>
      <c r="E10" s="228"/>
      <c r="F10" s="228"/>
      <c r="G10" s="228"/>
      <c r="H10" s="228"/>
      <c r="I10" s="228"/>
      <c r="J10" s="228"/>
    </row>
    <row r="11" spans="1:10" s="222" customFormat="1" x14ac:dyDescent="0.2">
      <c r="B11" s="244"/>
      <c r="D11" s="228"/>
      <c r="E11" s="228"/>
      <c r="F11" s="228"/>
      <c r="G11" s="228"/>
      <c r="H11" s="228"/>
      <c r="I11" s="228"/>
      <c r="J11" s="228"/>
    </row>
    <row r="13" spans="1:10" ht="12.75" x14ac:dyDescent="0.2">
      <c r="A13" s="345" t="s">
        <v>220</v>
      </c>
    </row>
    <row r="14" spans="1:10" ht="12.75" x14ac:dyDescent="0.2">
      <c r="A14" s="345" t="s">
        <v>221</v>
      </c>
      <c r="I14" s="274"/>
      <c r="J14" s="219"/>
    </row>
    <row r="15" spans="1:10" ht="12.75" x14ac:dyDescent="0.2">
      <c r="I15" s="266"/>
      <c r="J15" s="219"/>
    </row>
  </sheetData>
  <mergeCells count="1">
    <mergeCell ref="A2:B2"/>
  </mergeCells>
  <conditionalFormatting sqref="I14:I15">
    <cfRule type="duplicateValues" dxfId="7" priority="57"/>
  </conditionalFormatting>
  <conditionalFormatting sqref="A13:A14">
    <cfRule type="containsText" dxfId="6" priority="1" operator="containsText" text="1-"/>
  </conditionalFormatting>
  <pageMargins left="0.75" right="0.75" top="1" bottom="1" header="0.5" footer="0.5"/>
  <pageSetup paperSize="17" scale="90" fitToHeight="4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3669C-5B29-488D-9CB2-D93C353FF0A3}">
  <sheetPr>
    <tabColor theme="9"/>
  </sheetPr>
  <dimension ref="A1:O22"/>
  <sheetViews>
    <sheetView showGridLines="0" zoomScaleNormal="100" workbookViewId="0">
      <selection activeCell="A2" sqref="A2:O17"/>
    </sheetView>
  </sheetViews>
  <sheetFormatPr defaultRowHeight="12.75" x14ac:dyDescent="0.2"/>
  <cols>
    <col min="1" max="1" width="33.85546875" style="291" customWidth="1"/>
    <col min="2" max="2" width="9.140625" style="291"/>
    <col min="3" max="3" width="9.85546875" style="291" bestFit="1" customWidth="1"/>
    <col min="4" max="4" width="9.140625" style="291"/>
    <col min="5" max="5" width="7.140625" style="291" bestFit="1" customWidth="1"/>
    <col min="6" max="6" width="5.42578125" style="291" bestFit="1" customWidth="1"/>
    <col min="7" max="7" width="1.7109375" style="291" customWidth="1"/>
    <col min="8" max="8" width="10.140625" style="291" customWidth="1"/>
    <col min="9" max="9" width="5.42578125" style="291" bestFit="1" customWidth="1"/>
    <col min="10" max="10" width="1.85546875" style="291" customWidth="1"/>
    <col min="11" max="11" width="1.7109375" style="291" customWidth="1"/>
    <col min="12" max="12" width="7.140625" style="291" bestFit="1" customWidth="1"/>
    <col min="13" max="13" width="7.7109375" style="291" customWidth="1"/>
    <col min="14" max="14" width="10.140625" style="291" customWidth="1"/>
    <col min="15" max="16384" width="9.140625" style="291"/>
  </cols>
  <sheetData>
    <row r="1" spans="1:15" ht="15" customHeight="1" x14ac:dyDescent="0.2"/>
    <row r="2" spans="1:15" ht="15" customHeight="1" x14ac:dyDescent="0.2">
      <c r="A2" s="626" t="s">
        <v>73</v>
      </c>
      <c r="B2" s="626"/>
      <c r="C2" s="626"/>
      <c r="D2" s="626"/>
      <c r="E2" s="626"/>
      <c r="F2" s="626"/>
      <c r="G2" s="626"/>
      <c r="H2" s="626"/>
      <c r="I2" s="626"/>
      <c r="J2" s="626"/>
      <c r="K2" s="626"/>
      <c r="L2" s="626"/>
      <c r="M2" s="626"/>
      <c r="N2" s="378"/>
      <c r="O2" s="378"/>
    </row>
    <row r="3" spans="1:15" ht="15" customHeight="1" x14ac:dyDescent="0.2">
      <c r="A3" s="292"/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452"/>
      <c r="O3" s="452"/>
    </row>
    <row r="4" spans="1:15" ht="15" customHeight="1" x14ac:dyDescent="0.2">
      <c r="A4" s="293"/>
      <c r="B4" s="293"/>
      <c r="C4" s="293"/>
      <c r="D4" s="293"/>
      <c r="E4" s="627">
        <v>643.03</v>
      </c>
      <c r="F4" s="627"/>
      <c r="G4" s="294"/>
      <c r="H4" s="627">
        <v>643.07150000000001</v>
      </c>
      <c r="I4" s="627"/>
      <c r="J4" s="294"/>
      <c r="K4" s="294"/>
      <c r="L4" s="622" t="s">
        <v>209</v>
      </c>
      <c r="M4" s="622"/>
      <c r="N4" s="622">
        <v>643.1</v>
      </c>
      <c r="O4" s="622"/>
    </row>
    <row r="5" spans="1:15" ht="15" customHeight="1" x14ac:dyDescent="0.2">
      <c r="A5" s="295"/>
      <c r="B5" s="295"/>
      <c r="C5" s="295"/>
      <c r="D5" s="295"/>
      <c r="E5" s="630" t="s">
        <v>140</v>
      </c>
      <c r="F5" s="630"/>
      <c r="H5" s="630" t="s">
        <v>210</v>
      </c>
      <c r="I5" s="630"/>
      <c r="L5" s="85"/>
      <c r="M5" s="85"/>
      <c r="N5" s="104"/>
      <c r="O5" s="104"/>
    </row>
    <row r="6" spans="1:15" ht="15" customHeight="1" x14ac:dyDescent="0.2">
      <c r="A6" s="295"/>
      <c r="B6" s="295"/>
      <c r="C6" s="295"/>
      <c r="D6" s="295"/>
      <c r="E6" s="630"/>
      <c r="F6" s="630"/>
      <c r="G6" s="296"/>
      <c r="H6" s="630"/>
      <c r="I6" s="630"/>
      <c r="J6" s="297"/>
      <c r="K6" s="297"/>
      <c r="L6" s="623" t="s">
        <v>142</v>
      </c>
      <c r="M6" s="623"/>
      <c r="N6" s="623" t="s">
        <v>295</v>
      </c>
      <c r="O6" s="623"/>
    </row>
    <row r="7" spans="1:15" ht="15" customHeight="1" x14ac:dyDescent="0.2">
      <c r="A7" s="295"/>
      <c r="B7" s="295"/>
      <c r="C7" s="295"/>
      <c r="D7" s="295"/>
      <c r="E7" s="630"/>
      <c r="F7" s="630"/>
      <c r="G7" s="297"/>
      <c r="H7" s="630"/>
      <c r="I7" s="630"/>
      <c r="J7" s="297"/>
      <c r="K7" s="297"/>
      <c r="L7" s="623"/>
      <c r="M7" s="623"/>
      <c r="N7" s="623"/>
      <c r="O7" s="623"/>
    </row>
    <row r="8" spans="1:15" ht="15" customHeight="1" x14ac:dyDescent="0.2">
      <c r="A8" s="295"/>
      <c r="B8" s="295"/>
      <c r="C8" s="295" t="s">
        <v>211</v>
      </c>
      <c r="D8" s="295"/>
      <c r="E8" s="631"/>
      <c r="F8" s="631"/>
      <c r="G8" s="298"/>
      <c r="H8" s="629" t="s">
        <v>212</v>
      </c>
      <c r="I8" s="629"/>
      <c r="J8" s="298"/>
      <c r="K8" s="298"/>
      <c r="L8" s="624"/>
      <c r="M8" s="624"/>
      <c r="N8" s="624"/>
      <c r="O8" s="624"/>
    </row>
    <row r="9" spans="1:15" ht="15" customHeight="1" thickBot="1" x14ac:dyDescent="0.25">
      <c r="A9" s="298" t="s">
        <v>213</v>
      </c>
      <c r="B9" s="298"/>
      <c r="C9" s="298" t="s">
        <v>214</v>
      </c>
      <c r="D9" s="298"/>
      <c r="E9" s="298" t="s">
        <v>215</v>
      </c>
      <c r="F9" s="298" t="s">
        <v>75</v>
      </c>
      <c r="G9" s="298"/>
      <c r="H9" s="298" t="s">
        <v>215</v>
      </c>
      <c r="I9" s="298" t="s">
        <v>75</v>
      </c>
      <c r="J9" s="298"/>
      <c r="K9" s="298"/>
      <c r="L9" s="429" t="s">
        <v>215</v>
      </c>
      <c r="M9" s="429" t="s">
        <v>75</v>
      </c>
      <c r="N9" s="429" t="s">
        <v>215</v>
      </c>
      <c r="O9" s="429" t="s">
        <v>72</v>
      </c>
    </row>
    <row r="10" spans="1:15" ht="15" customHeight="1" thickTop="1" x14ac:dyDescent="0.2">
      <c r="A10" s="446"/>
      <c r="B10" s="446"/>
      <c r="C10" s="446"/>
      <c r="D10" s="446"/>
      <c r="E10" s="446"/>
      <c r="F10" s="446"/>
      <c r="G10" s="446"/>
      <c r="H10" s="446"/>
      <c r="I10" s="446"/>
      <c r="J10" s="446"/>
      <c r="K10" s="446"/>
      <c r="L10" s="447"/>
      <c r="M10" s="447"/>
      <c r="N10" s="447"/>
      <c r="O10" s="447"/>
    </row>
    <row r="11" spans="1:15" ht="15" customHeight="1" x14ac:dyDescent="0.2">
      <c r="A11" s="299" t="s">
        <v>108</v>
      </c>
      <c r="B11" s="298"/>
      <c r="C11" s="448">
        <v>60</v>
      </c>
      <c r="D11" s="448"/>
      <c r="E11" s="449">
        <v>28</v>
      </c>
      <c r="F11" s="450">
        <f>IF(E11=0,"--",$C$11*E11)</f>
        <v>1680</v>
      </c>
      <c r="G11" s="450"/>
      <c r="H11" s="451">
        <v>28</v>
      </c>
      <c r="I11" s="450">
        <f>IF(H11=0,"--",$C$11*H11)</f>
        <v>1680</v>
      </c>
      <c r="J11" s="450"/>
      <c r="K11" s="450"/>
      <c r="L11" s="449">
        <v>64</v>
      </c>
      <c r="M11" s="450">
        <f>IF(L11=0,"--",$C$11*L11)</f>
        <v>3840</v>
      </c>
      <c r="N11" s="449">
        <v>2</v>
      </c>
      <c r="O11" s="450">
        <f>N11*(6*3)</f>
        <v>36</v>
      </c>
    </row>
    <row r="12" spans="1:15" ht="15" customHeight="1" x14ac:dyDescent="0.2">
      <c r="A12" s="299" t="s">
        <v>191</v>
      </c>
      <c r="B12" s="298"/>
      <c r="C12" s="300"/>
      <c r="D12" s="300"/>
      <c r="E12" s="628">
        <f>CEILING(SUM(F11:F11)*0.2,10)</f>
        <v>340</v>
      </c>
      <c r="F12" s="628"/>
      <c r="G12" s="430"/>
      <c r="H12" s="628">
        <f>CEILING(SUM(I11:I11)*0.2,10)</f>
        <v>340</v>
      </c>
      <c r="I12" s="628"/>
      <c r="J12" s="430"/>
      <c r="K12" s="430"/>
      <c r="L12" s="625">
        <f>CEILING(SUM(M11:M11)*0.2,10)</f>
        <v>770</v>
      </c>
      <c r="M12" s="625"/>
      <c r="N12" s="625">
        <v>0</v>
      </c>
      <c r="O12" s="625"/>
    </row>
    <row r="13" spans="1:15" ht="15" customHeight="1" x14ac:dyDescent="0.2">
      <c r="A13" s="431"/>
      <c r="B13" s="405"/>
      <c r="C13" s="432"/>
      <c r="D13" s="432"/>
      <c r="E13" s="433"/>
      <c r="F13" s="433"/>
      <c r="G13" s="433"/>
      <c r="H13" s="433"/>
      <c r="I13" s="433"/>
      <c r="J13" s="433"/>
      <c r="K13" s="433"/>
      <c r="L13" s="434"/>
      <c r="M13" s="434"/>
      <c r="N13" s="434"/>
      <c r="O13" s="434"/>
    </row>
    <row r="14" spans="1:15" ht="15" customHeight="1" x14ac:dyDescent="0.2">
      <c r="A14" s="301" t="s">
        <v>162</v>
      </c>
      <c r="B14" s="302"/>
      <c r="C14" s="303"/>
      <c r="D14" s="303"/>
      <c r="E14" s="628">
        <f>CEILING(SUM(F11:F11,E12),50)</f>
        <v>2050</v>
      </c>
      <c r="F14" s="628"/>
      <c r="G14" s="435"/>
      <c r="H14" s="628">
        <f>CEILING(SUM(I11:I11,H12),50)</f>
        <v>2050</v>
      </c>
      <c r="I14" s="628"/>
      <c r="J14" s="435"/>
      <c r="K14" s="435"/>
      <c r="L14" s="625">
        <f>CEILING(SUM(M11:M11,L12),50)</f>
        <v>4650</v>
      </c>
      <c r="M14" s="625"/>
      <c r="N14" s="625">
        <f>SUM(O11:O11,N12)</f>
        <v>36</v>
      </c>
      <c r="O14" s="625"/>
    </row>
    <row r="15" spans="1:15" ht="15" customHeight="1" x14ac:dyDescent="0.2">
      <c r="A15" s="301"/>
      <c r="B15" s="302"/>
      <c r="C15" s="303"/>
      <c r="D15" s="303"/>
      <c r="E15" s="304"/>
      <c r="F15" s="304"/>
      <c r="G15" s="304"/>
      <c r="H15" s="304"/>
      <c r="I15" s="304"/>
      <c r="J15" s="304"/>
      <c r="K15" s="304"/>
      <c r="L15" s="305"/>
      <c r="M15" s="305"/>
    </row>
    <row r="16" spans="1:15" ht="15" customHeight="1" x14ac:dyDescent="0.2">
      <c r="A16" s="306" t="s">
        <v>216</v>
      </c>
      <c r="B16" s="295"/>
      <c r="C16" s="295"/>
      <c r="D16" s="295"/>
      <c r="E16" s="295"/>
      <c r="F16" s="295"/>
      <c r="G16" s="295"/>
      <c r="H16" s="295"/>
      <c r="I16" s="295"/>
      <c r="J16" s="295"/>
    </row>
    <row r="17" spans="1:10" ht="15" customHeight="1" x14ac:dyDescent="0.2">
      <c r="A17" s="307"/>
      <c r="B17" s="307"/>
      <c r="C17" s="307"/>
      <c r="D17" s="307"/>
      <c r="E17" s="307"/>
      <c r="F17" s="307"/>
      <c r="G17" s="307"/>
      <c r="H17" s="307"/>
      <c r="I17" s="307"/>
      <c r="J17" s="307"/>
    </row>
    <row r="18" spans="1:10" x14ac:dyDescent="0.2">
      <c r="A18" s="307"/>
      <c r="B18" s="307"/>
      <c r="C18" s="307"/>
      <c r="D18" s="307"/>
      <c r="E18" s="307"/>
      <c r="F18" s="307"/>
      <c r="G18" s="307"/>
      <c r="H18" s="307"/>
      <c r="I18" s="307"/>
      <c r="J18" s="307"/>
    </row>
    <row r="19" spans="1:10" x14ac:dyDescent="0.2">
      <c r="A19" s="307"/>
      <c r="B19" s="307"/>
      <c r="C19" s="307"/>
      <c r="D19" s="307"/>
      <c r="E19" s="233"/>
      <c r="F19" s="233"/>
      <c r="G19" s="307"/>
      <c r="H19" s="307"/>
      <c r="I19" s="307"/>
      <c r="J19" s="307"/>
    </row>
    <row r="20" spans="1:10" x14ac:dyDescent="0.2">
      <c r="A20" s="228"/>
      <c r="B20" s="307"/>
      <c r="C20" s="307"/>
      <c r="D20" s="307"/>
      <c r="E20" s="307"/>
      <c r="F20" s="307"/>
      <c r="G20" s="307"/>
      <c r="H20" s="307"/>
      <c r="I20" s="307"/>
      <c r="J20" s="307"/>
    </row>
    <row r="21" spans="1:10" x14ac:dyDescent="0.2">
      <c r="A21" s="313" t="s">
        <v>220</v>
      </c>
      <c r="B21" s="307"/>
      <c r="C21" s="307"/>
      <c r="D21" s="307"/>
      <c r="E21" s="307"/>
      <c r="F21" s="307"/>
      <c r="G21" s="307"/>
      <c r="H21" s="307"/>
      <c r="I21" s="307"/>
      <c r="J21" s="307"/>
    </row>
    <row r="22" spans="1:10" x14ac:dyDescent="0.2">
      <c r="A22" s="313" t="s">
        <v>221</v>
      </c>
    </row>
  </sheetData>
  <mergeCells count="18">
    <mergeCell ref="E5:F8"/>
    <mergeCell ref="H5:I7"/>
    <mergeCell ref="N4:O4"/>
    <mergeCell ref="N6:O8"/>
    <mergeCell ref="N12:O12"/>
    <mergeCell ref="N14:O14"/>
    <mergeCell ref="A2:M2"/>
    <mergeCell ref="E4:F4"/>
    <mergeCell ref="H4:I4"/>
    <mergeCell ref="L4:M4"/>
    <mergeCell ref="E14:F14"/>
    <mergeCell ref="H14:I14"/>
    <mergeCell ref="L14:M14"/>
    <mergeCell ref="L6:M8"/>
    <mergeCell ref="H8:I8"/>
    <mergeCell ref="E12:F12"/>
    <mergeCell ref="H12:I12"/>
    <mergeCell ref="L12:M12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7BD29-2839-4D7E-8FFC-D7ADEEE4201E}">
  <sheetPr>
    <tabColor theme="9"/>
  </sheetPr>
  <dimension ref="A1:C14"/>
  <sheetViews>
    <sheetView showGridLines="0" zoomScaleNormal="100" zoomScaleSheetLayoutView="100" workbookViewId="0">
      <selection activeCell="A2" sqref="A2:B9"/>
    </sheetView>
  </sheetViews>
  <sheetFormatPr defaultRowHeight="12" x14ac:dyDescent="0.2"/>
  <cols>
    <col min="1" max="1" width="25" style="228" customWidth="1"/>
    <col min="2" max="2" width="15.140625" style="222" customWidth="1"/>
    <col min="3" max="3" width="16.85546875" style="222" customWidth="1"/>
    <col min="4" max="16384" width="9.140625" style="228"/>
  </cols>
  <sheetData>
    <row r="1" spans="1:2" s="222" customFormat="1" ht="15" customHeight="1" x14ac:dyDescent="0.2">
      <c r="A1" s="227"/>
    </row>
    <row r="2" spans="1:2" ht="15" customHeight="1" x14ac:dyDescent="0.2">
      <c r="A2" s="615" t="s">
        <v>170</v>
      </c>
      <c r="B2" s="615"/>
    </row>
    <row r="3" spans="1:2" ht="15" customHeight="1" x14ac:dyDescent="0.2">
      <c r="A3" s="200"/>
      <c r="B3" s="235"/>
    </row>
    <row r="4" spans="1:2" ht="15" customHeight="1" x14ac:dyDescent="0.2">
      <c r="A4" s="202"/>
      <c r="B4" s="203" t="s">
        <v>169</v>
      </c>
    </row>
    <row r="5" spans="1:2" s="222" customFormat="1" ht="15" customHeight="1" thickBot="1" x14ac:dyDescent="0.25">
      <c r="A5" s="191" t="s">
        <v>174</v>
      </c>
      <c r="B5" s="217" t="s">
        <v>8</v>
      </c>
    </row>
    <row r="6" spans="1:2" s="222" customFormat="1" ht="15" customHeight="1" thickTop="1" x14ac:dyDescent="0.2">
      <c r="A6" s="260"/>
      <c r="B6" s="233"/>
    </row>
    <row r="7" spans="1:2" s="222" customFormat="1" ht="15" customHeight="1" x14ac:dyDescent="0.2">
      <c r="A7" s="202" t="s">
        <v>322</v>
      </c>
      <c r="B7" s="233">
        <v>1</v>
      </c>
    </row>
    <row r="8" spans="1:2" s="222" customFormat="1" ht="15" customHeight="1" x14ac:dyDescent="0.2">
      <c r="A8" s="214"/>
      <c r="B8" s="403"/>
    </row>
    <row r="9" spans="1:2" s="222" customFormat="1" ht="15" customHeight="1" x14ac:dyDescent="0.2">
      <c r="A9" s="413" t="s">
        <v>163</v>
      </c>
      <c r="B9" s="417">
        <f>SUM(B7:B7)</f>
        <v>1</v>
      </c>
    </row>
    <row r="10" spans="1:2" s="222" customFormat="1" x14ac:dyDescent="0.2">
      <c r="B10" s="244"/>
    </row>
    <row r="13" spans="1:2" ht="12.75" x14ac:dyDescent="0.2">
      <c r="A13" s="345" t="s">
        <v>220</v>
      </c>
    </row>
    <row r="14" spans="1:2" ht="12.75" x14ac:dyDescent="0.2">
      <c r="A14" s="345" t="s">
        <v>221</v>
      </c>
    </row>
  </sheetData>
  <mergeCells count="1">
    <mergeCell ref="A2:B2"/>
  </mergeCells>
  <conditionalFormatting sqref="A13:A14">
    <cfRule type="containsText" dxfId="5" priority="1" operator="containsText" text="1-"/>
  </conditionalFormatting>
  <pageMargins left="0.75" right="0.75" top="1" bottom="1" header="0.5" footer="0.5"/>
  <pageSetup paperSize="17" scale="90" fitToHeight="4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167E2-BEED-4877-A7AB-F97C413FABAE}">
  <sheetPr>
    <tabColor theme="9"/>
  </sheetPr>
  <dimension ref="A1:J14"/>
  <sheetViews>
    <sheetView showGridLines="0" zoomScaleNormal="100" zoomScaleSheetLayoutView="100" workbookViewId="0">
      <selection activeCell="A2" sqref="A2:B9"/>
    </sheetView>
  </sheetViews>
  <sheetFormatPr defaultRowHeight="12" x14ac:dyDescent="0.2"/>
  <cols>
    <col min="1" max="1" width="17.7109375" style="228" customWidth="1"/>
    <col min="2" max="2" width="15.140625" style="222" customWidth="1"/>
    <col min="3" max="3" width="9.140625" style="222"/>
    <col min="4" max="16384" width="9.140625" style="228"/>
  </cols>
  <sheetData>
    <row r="1" spans="1:10" s="222" customFormat="1" ht="15" customHeight="1" x14ac:dyDescent="0.2">
      <c r="A1" s="227"/>
    </row>
    <row r="2" spans="1:10" ht="15" customHeight="1" x14ac:dyDescent="0.2">
      <c r="A2" s="615" t="s">
        <v>74</v>
      </c>
      <c r="B2" s="615"/>
    </row>
    <row r="3" spans="1:10" ht="15" customHeight="1" x14ac:dyDescent="0.2">
      <c r="A3" s="200"/>
      <c r="B3" s="235"/>
    </row>
    <row r="4" spans="1:10" ht="15" customHeight="1" x14ac:dyDescent="0.2">
      <c r="A4" s="202"/>
      <c r="B4" s="203">
        <v>643.5</v>
      </c>
    </row>
    <row r="5" spans="1:10" ht="15" customHeight="1" thickBot="1" x14ac:dyDescent="0.25">
      <c r="A5" s="191" t="s">
        <v>174</v>
      </c>
      <c r="B5" s="217" t="s">
        <v>4</v>
      </c>
    </row>
    <row r="6" spans="1:10" ht="15" customHeight="1" thickTop="1" x14ac:dyDescent="0.2">
      <c r="A6" s="204"/>
      <c r="B6" s="205"/>
    </row>
    <row r="7" spans="1:10" ht="15" customHeight="1" x14ac:dyDescent="0.2">
      <c r="A7" s="202" t="s">
        <v>322</v>
      </c>
      <c r="B7" s="205">
        <v>1</v>
      </c>
    </row>
    <row r="8" spans="1:10" s="222" customFormat="1" ht="15" customHeight="1" x14ac:dyDescent="0.2">
      <c r="A8" s="214"/>
      <c r="B8" s="403"/>
      <c r="D8" s="228"/>
      <c r="E8" s="228"/>
      <c r="F8" s="228"/>
      <c r="G8" s="228"/>
      <c r="H8" s="228"/>
      <c r="I8" s="228"/>
      <c r="J8" s="228"/>
    </row>
    <row r="9" spans="1:10" s="222" customFormat="1" ht="15" customHeight="1" x14ac:dyDescent="0.2">
      <c r="A9" s="413" t="s">
        <v>163</v>
      </c>
      <c r="B9" s="417">
        <f>SUM(B7:B7)</f>
        <v>1</v>
      </c>
      <c r="D9" s="228"/>
      <c r="E9" s="228"/>
      <c r="F9" s="228"/>
      <c r="G9" s="228"/>
      <c r="H9" s="228"/>
      <c r="I9" s="228"/>
      <c r="J9" s="228"/>
    </row>
    <row r="10" spans="1:10" s="222" customFormat="1" x14ac:dyDescent="0.2">
      <c r="B10" s="244"/>
      <c r="D10" s="228"/>
      <c r="E10" s="228"/>
      <c r="F10" s="228"/>
      <c r="G10" s="228"/>
      <c r="H10" s="228"/>
      <c r="I10" s="228"/>
      <c r="J10" s="228"/>
    </row>
    <row r="12" spans="1:10" ht="12.75" x14ac:dyDescent="0.2">
      <c r="A12" s="313" t="s">
        <v>220</v>
      </c>
    </row>
    <row r="13" spans="1:10" ht="12.75" x14ac:dyDescent="0.2">
      <c r="A13" s="313" t="s">
        <v>221</v>
      </c>
      <c r="I13" s="274"/>
      <c r="J13" s="219"/>
    </row>
    <row r="14" spans="1:10" ht="12.75" x14ac:dyDescent="0.2">
      <c r="I14" s="266"/>
      <c r="J14" s="219"/>
    </row>
  </sheetData>
  <mergeCells count="1">
    <mergeCell ref="A2:B2"/>
  </mergeCells>
  <conditionalFormatting sqref="I13:I14">
    <cfRule type="duplicateValues" dxfId="4" priority="1"/>
  </conditionalFormatting>
  <pageMargins left="0.75" right="0.75" top="1" bottom="1" header="0.5" footer="0.5"/>
  <pageSetup paperSize="17" scale="90" fitToHeight="4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9"/>
  </sheetPr>
  <dimension ref="A1:Y58"/>
  <sheetViews>
    <sheetView showGridLines="0" zoomScaleNormal="100" workbookViewId="0">
      <selection activeCell="A2" sqref="A2:H15"/>
    </sheetView>
  </sheetViews>
  <sheetFormatPr defaultRowHeight="15" x14ac:dyDescent="0.25"/>
  <cols>
    <col min="1" max="1" width="10" customWidth="1"/>
    <col min="2" max="2" width="27.85546875" customWidth="1"/>
    <col min="3" max="3" width="12" customWidth="1"/>
    <col min="4" max="4" width="17.7109375" customWidth="1"/>
    <col min="5" max="5" width="17.5703125" customWidth="1"/>
    <col min="6" max="7" width="19.7109375" customWidth="1"/>
    <col min="8" max="8" width="19.42578125" customWidth="1"/>
    <col min="9" max="9" width="31.140625" style="1" customWidth="1"/>
    <col min="10" max="10" width="21" style="1" customWidth="1"/>
    <col min="11" max="11" width="16" customWidth="1"/>
    <col min="12" max="13" width="21.7109375" customWidth="1"/>
    <col min="14" max="1019" width="9.140625" customWidth="1"/>
  </cols>
  <sheetData>
    <row r="1" spans="1:25" ht="15" customHeight="1" x14ac:dyDescent="0.25">
      <c r="A1" s="62"/>
      <c r="B1" s="62"/>
      <c r="C1" s="62"/>
      <c r="D1" s="62"/>
      <c r="E1" s="62"/>
      <c r="F1" s="62"/>
      <c r="G1" s="62"/>
      <c r="H1" s="62"/>
      <c r="I1" s="63"/>
    </row>
    <row r="2" spans="1:25" ht="15" customHeight="1" x14ac:dyDescent="0.25">
      <c r="A2" s="611" t="s">
        <v>76</v>
      </c>
      <c r="B2" s="611"/>
      <c r="C2" s="611"/>
      <c r="D2" s="611"/>
      <c r="E2" s="611"/>
      <c r="F2" s="611"/>
      <c r="G2" s="611"/>
      <c r="H2" s="611"/>
      <c r="I2" s="67"/>
      <c r="J2" s="632"/>
      <c r="K2" s="632"/>
      <c r="L2" s="632"/>
      <c r="M2" s="632"/>
      <c r="N2" s="632"/>
      <c r="O2" s="632"/>
      <c r="P2" s="632"/>
      <c r="Q2" s="632"/>
      <c r="R2" s="632"/>
      <c r="S2" s="632"/>
    </row>
    <row r="3" spans="1:25" ht="15" customHeight="1" x14ac:dyDescent="0.25">
      <c r="A3" s="156"/>
      <c r="B3" s="156"/>
      <c r="C3" s="156"/>
      <c r="D3" s="157"/>
      <c r="E3" s="157"/>
      <c r="F3" s="162"/>
      <c r="G3" s="162"/>
      <c r="H3" s="229"/>
      <c r="I3" s="13"/>
    </row>
    <row r="4" spans="1:25" ht="15" customHeight="1" x14ac:dyDescent="0.25">
      <c r="A4" s="156"/>
      <c r="B4" s="156"/>
      <c r="C4" s="157"/>
      <c r="D4" s="175">
        <v>646.10199999999998</v>
      </c>
      <c r="E4" s="175">
        <v>646.10400000000004</v>
      </c>
      <c r="F4" s="175">
        <v>646.30399999999997</v>
      </c>
      <c r="G4" s="175">
        <v>646.452</v>
      </c>
      <c r="H4" s="175">
        <v>649.01049999999998</v>
      </c>
      <c r="I4" s="21"/>
    </row>
    <row r="5" spans="1:25" ht="15" customHeight="1" x14ac:dyDescent="0.25">
      <c r="A5" s="156"/>
      <c r="B5" s="156"/>
      <c r="C5" s="157"/>
      <c r="D5" s="542" t="s">
        <v>205</v>
      </c>
      <c r="E5" s="634" t="s">
        <v>205</v>
      </c>
      <c r="F5" s="634"/>
      <c r="G5" s="542" t="s">
        <v>205</v>
      </c>
      <c r="H5" s="175" t="s">
        <v>192</v>
      </c>
      <c r="I5" s="21"/>
    </row>
    <row r="6" spans="1:25" ht="15" customHeight="1" x14ac:dyDescent="0.25">
      <c r="A6" s="156"/>
      <c r="B6" s="156"/>
      <c r="C6" s="157"/>
      <c r="D6" s="542"/>
      <c r="E6" s="634" t="s">
        <v>206</v>
      </c>
      <c r="F6" s="634"/>
      <c r="G6" s="175"/>
      <c r="H6" s="175" t="s">
        <v>43</v>
      </c>
      <c r="I6" s="180"/>
    </row>
    <row r="7" spans="1:25" ht="15" customHeight="1" x14ac:dyDescent="0.25">
      <c r="A7" s="156"/>
      <c r="B7" s="156"/>
      <c r="C7" s="157"/>
      <c r="D7" s="542"/>
      <c r="E7" s="618" t="s">
        <v>207</v>
      </c>
      <c r="F7" s="618"/>
      <c r="G7" s="175" t="s">
        <v>354</v>
      </c>
      <c r="H7" s="229" t="s">
        <v>204</v>
      </c>
      <c r="I7" s="13"/>
    </row>
    <row r="8" spans="1:25" ht="15" customHeight="1" x14ac:dyDescent="0.25">
      <c r="A8" s="156"/>
      <c r="B8" s="156"/>
      <c r="C8" s="157"/>
      <c r="D8" s="157" t="s">
        <v>77</v>
      </c>
      <c r="E8" s="157" t="s">
        <v>78</v>
      </c>
      <c r="F8" s="157" t="s">
        <v>78</v>
      </c>
      <c r="G8" s="175" t="s">
        <v>78</v>
      </c>
      <c r="H8" s="229" t="s">
        <v>79</v>
      </c>
      <c r="I8" s="13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" customHeight="1" x14ac:dyDescent="0.25">
      <c r="A9" s="162"/>
      <c r="B9" s="162"/>
      <c r="C9" s="157"/>
      <c r="D9" s="175" t="s">
        <v>80</v>
      </c>
      <c r="E9" s="175" t="s">
        <v>80</v>
      </c>
      <c r="F9" s="175" t="s">
        <v>81</v>
      </c>
      <c r="G9" s="175" t="s">
        <v>80</v>
      </c>
      <c r="H9" s="229" t="s">
        <v>80</v>
      </c>
      <c r="I9" s="13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" customHeight="1" x14ac:dyDescent="0.25">
      <c r="A10" s="162"/>
      <c r="B10" s="162"/>
      <c r="C10" s="157"/>
      <c r="D10" s="229" t="s">
        <v>104</v>
      </c>
      <c r="E10" s="229" t="s">
        <v>82</v>
      </c>
      <c r="F10" s="229" t="s">
        <v>82</v>
      </c>
      <c r="G10" s="458" t="s">
        <v>104</v>
      </c>
      <c r="H10" s="229" t="s">
        <v>83</v>
      </c>
      <c r="I10" s="13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" customHeight="1" thickBot="1" x14ac:dyDescent="0.3">
      <c r="A11" s="191" t="s">
        <v>174</v>
      </c>
      <c r="B11" s="192" t="s">
        <v>9</v>
      </c>
      <c r="C11" s="192" t="s">
        <v>3</v>
      </c>
      <c r="D11" s="192" t="s">
        <v>14</v>
      </c>
      <c r="E11" s="192" t="s">
        <v>14</v>
      </c>
      <c r="F11" s="192" t="s">
        <v>14</v>
      </c>
      <c r="G11" s="192" t="s">
        <v>355</v>
      </c>
      <c r="H11" s="192" t="s">
        <v>14</v>
      </c>
      <c r="I11" s="13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" customHeight="1" thickTop="1" x14ac:dyDescent="0.25">
      <c r="A12" s="159"/>
      <c r="B12" s="159"/>
      <c r="C12" s="229"/>
      <c r="D12" s="229"/>
      <c r="E12" s="229"/>
      <c r="F12" s="229"/>
      <c r="G12" s="458"/>
      <c r="H12" s="229"/>
      <c r="I12" s="536" t="s">
        <v>353</v>
      </c>
      <c r="J12" s="536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" customHeight="1" x14ac:dyDescent="0.25">
      <c r="A13" s="159" t="s">
        <v>108</v>
      </c>
      <c r="B13" s="407" t="s">
        <v>278</v>
      </c>
      <c r="C13" s="229" t="s">
        <v>13</v>
      </c>
      <c r="D13" s="389">
        <v>32078</v>
      </c>
      <c r="E13" s="389">
        <v>42066</v>
      </c>
      <c r="F13" s="389">
        <v>964</v>
      </c>
      <c r="G13" s="389">
        <v>32078</v>
      </c>
      <c r="H13" s="389">
        <f>1*32078</f>
        <v>32078</v>
      </c>
      <c r="I13" s="633" t="s">
        <v>356</v>
      </c>
      <c r="J13" s="633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" customHeight="1" x14ac:dyDescent="0.25">
      <c r="A14" s="159"/>
      <c r="B14" s="388"/>
      <c r="C14" s="407"/>
      <c r="D14" s="389"/>
      <c r="E14" s="389"/>
      <c r="F14" s="389"/>
      <c r="G14" s="389"/>
      <c r="H14" s="389"/>
      <c r="I14" s="1" t="s">
        <v>357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" customHeight="1" x14ac:dyDescent="0.25">
      <c r="A15" s="428" t="s">
        <v>162</v>
      </c>
      <c r="B15" s="428"/>
      <c r="C15" s="411"/>
      <c r="D15" s="436">
        <f>SUM(D13:D13)</f>
        <v>32078</v>
      </c>
      <c r="E15" s="436">
        <f>SUM(E13:E13)</f>
        <v>42066</v>
      </c>
      <c r="F15" s="436">
        <f>SUM(F13:F13)</f>
        <v>964</v>
      </c>
      <c r="G15" s="436">
        <f>SUM(G13:G13)</f>
        <v>32078</v>
      </c>
      <c r="H15" s="436">
        <f>SUM(H13:H13)</f>
        <v>32078</v>
      </c>
      <c r="I15" s="16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6.7" customHeight="1" x14ac:dyDescent="0.25">
      <c r="A16" s="172"/>
      <c r="B16" s="172"/>
      <c r="C16" s="172"/>
      <c r="D16" s="285"/>
      <c r="E16" s="285"/>
      <c r="F16" s="172"/>
      <c r="G16" s="172"/>
      <c r="H16" s="285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6.7" customHeight="1" x14ac:dyDescent="0.3">
      <c r="A17" s="172"/>
      <c r="B17" s="172"/>
      <c r="C17" s="172"/>
      <c r="D17" s="172"/>
      <c r="E17" s="172"/>
      <c r="F17" s="172"/>
      <c r="G17" s="172"/>
      <c r="H17" s="172"/>
      <c r="I17" s="23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x14ac:dyDescent="0.25">
      <c r="K18" s="75" t="s">
        <v>289</v>
      </c>
      <c r="L18" s="75" t="s">
        <v>289</v>
      </c>
      <c r="M18" s="25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x14ac:dyDescent="0.25">
      <c r="J19" s="75"/>
      <c r="K19" s="75" t="s">
        <v>293</v>
      </c>
      <c r="L19" s="75" t="s">
        <v>294</v>
      </c>
      <c r="M19" s="25"/>
    </row>
    <row r="20" spans="1:25" ht="15.75" thickBot="1" x14ac:dyDescent="0.3">
      <c r="D20" s="75"/>
      <c r="E20" s="75"/>
      <c r="F20" s="75"/>
      <c r="G20" s="75"/>
      <c r="H20" s="75"/>
      <c r="J20" s="75" t="s">
        <v>3</v>
      </c>
      <c r="K20" s="75" t="s">
        <v>14</v>
      </c>
      <c r="L20" s="75" t="s">
        <v>14</v>
      </c>
      <c r="M20" s="25"/>
    </row>
    <row r="21" spans="1:25" ht="15.75" thickTop="1" x14ac:dyDescent="0.25">
      <c r="B21" s="75"/>
      <c r="C21" s="75"/>
      <c r="D21" s="75"/>
      <c r="E21" s="75"/>
      <c r="F21" s="1"/>
      <c r="G21" s="1"/>
      <c r="H21" s="1"/>
      <c r="I21" s="349" t="s">
        <v>283</v>
      </c>
      <c r="J21" s="350" t="s">
        <v>7</v>
      </c>
      <c r="K21" s="350">
        <v>1430</v>
      </c>
      <c r="L21" s="350"/>
      <c r="M21" s="25"/>
    </row>
    <row r="22" spans="1:25" x14ac:dyDescent="0.25">
      <c r="B22" s="74"/>
      <c r="C22" s="74"/>
      <c r="D22" s="74"/>
      <c r="E22" s="74"/>
      <c r="F22" s="1"/>
      <c r="G22" s="1"/>
      <c r="H22" s="1"/>
      <c r="I22" t="s">
        <v>284</v>
      </c>
      <c r="J22" s="75" t="s">
        <v>6</v>
      </c>
      <c r="K22" s="75">
        <v>4877</v>
      </c>
      <c r="L22" s="75"/>
      <c r="M22" s="25"/>
    </row>
    <row r="23" spans="1:25" x14ac:dyDescent="0.25">
      <c r="F23" s="1"/>
      <c r="G23" s="1"/>
      <c r="H23" s="1"/>
      <c r="I23" t="s">
        <v>285</v>
      </c>
      <c r="J23" s="75" t="s">
        <v>7</v>
      </c>
      <c r="K23" s="75">
        <v>3294</v>
      </c>
      <c r="L23" s="75"/>
      <c r="M23" s="25"/>
    </row>
    <row r="24" spans="1:25" x14ac:dyDescent="0.25">
      <c r="F24" s="1"/>
      <c r="G24" s="1"/>
      <c r="H24" s="1"/>
      <c r="I24" t="s">
        <v>290</v>
      </c>
      <c r="J24" s="75" t="s">
        <v>6</v>
      </c>
      <c r="K24" s="75">
        <v>7180</v>
      </c>
      <c r="L24" s="75"/>
      <c r="M24" s="25"/>
    </row>
    <row r="25" spans="1:25" x14ac:dyDescent="0.25">
      <c r="F25" s="1"/>
      <c r="G25" s="1"/>
      <c r="H25" s="1"/>
      <c r="I25" t="s">
        <v>292</v>
      </c>
      <c r="J25" s="75" t="s">
        <v>7</v>
      </c>
      <c r="K25" s="75">
        <v>5901</v>
      </c>
      <c r="L25" s="75"/>
      <c r="M25" s="25"/>
    </row>
    <row r="26" spans="1:25" x14ac:dyDescent="0.25">
      <c r="F26" s="1"/>
      <c r="G26" s="1"/>
      <c r="H26" s="1"/>
      <c r="I26" t="s">
        <v>300</v>
      </c>
      <c r="J26" s="75" t="s">
        <v>301</v>
      </c>
      <c r="K26" s="75">
        <f>600/50*12.5</f>
        <v>150</v>
      </c>
      <c r="L26" s="75">
        <v>200</v>
      </c>
      <c r="M26" s="25"/>
    </row>
    <row r="27" spans="1:25" x14ac:dyDescent="0.25">
      <c r="F27" s="1"/>
      <c r="G27" s="1"/>
      <c r="H27" s="1"/>
      <c r="I27" t="s">
        <v>291</v>
      </c>
      <c r="J27" s="75" t="s">
        <v>7</v>
      </c>
      <c r="K27" s="75">
        <v>1187</v>
      </c>
      <c r="L27" s="75"/>
      <c r="M27" s="25"/>
    </row>
    <row r="28" spans="1:25" x14ac:dyDescent="0.25">
      <c r="F28" s="1"/>
      <c r="G28" s="1"/>
      <c r="H28" s="1"/>
      <c r="I28" t="s">
        <v>286</v>
      </c>
      <c r="J28" s="75" t="s">
        <v>6</v>
      </c>
      <c r="K28" s="75">
        <v>9097</v>
      </c>
      <c r="L28" s="75">
        <v>420</v>
      </c>
      <c r="M28" s="25"/>
    </row>
    <row r="29" spans="1:25" x14ac:dyDescent="0.25">
      <c r="F29" s="1"/>
      <c r="G29" s="1"/>
      <c r="H29" s="1"/>
      <c r="I29" t="s">
        <v>287</v>
      </c>
      <c r="J29" s="75" t="s">
        <v>7</v>
      </c>
      <c r="K29" s="75">
        <v>8314</v>
      </c>
      <c r="L29" s="75"/>
      <c r="M29" s="25"/>
    </row>
    <row r="30" spans="1:25" ht="15.75" thickBot="1" x14ac:dyDescent="0.3">
      <c r="F30" s="1"/>
      <c r="G30" s="1"/>
      <c r="H30" s="1"/>
      <c r="I30" s="1" t="s">
        <v>288</v>
      </c>
      <c r="J30" s="25" t="s">
        <v>7</v>
      </c>
      <c r="K30" s="25">
        <v>636</v>
      </c>
      <c r="L30" s="25">
        <v>344</v>
      </c>
      <c r="M30" s="25"/>
    </row>
    <row r="31" spans="1:25" ht="15.75" thickTop="1" x14ac:dyDescent="0.25">
      <c r="A31" s="1"/>
      <c r="B31" s="1"/>
      <c r="C31" s="1"/>
      <c r="D31" s="1"/>
      <c r="E31" s="76"/>
      <c r="F31" s="76"/>
      <c r="G31" s="76"/>
      <c r="H31" s="1"/>
      <c r="I31" s="349"/>
      <c r="J31" s="350"/>
      <c r="K31" s="350">
        <f>SUM(K21:K30)</f>
        <v>42066</v>
      </c>
      <c r="L31" s="350">
        <f>SUM(L21:L30)</f>
        <v>964</v>
      </c>
      <c r="M31" s="25"/>
    </row>
    <row r="32" spans="1:25" x14ac:dyDescent="0.25">
      <c r="A32" s="1"/>
      <c r="B32" s="1"/>
      <c r="C32" s="1"/>
      <c r="D32" s="1"/>
      <c r="E32" s="1"/>
      <c r="F32" s="1"/>
      <c r="G32" s="1"/>
      <c r="H32" s="1"/>
      <c r="I32"/>
      <c r="J32" s="75"/>
      <c r="M32" s="1"/>
    </row>
    <row r="33" spans="1:13" x14ac:dyDescent="0.25">
      <c r="A33" s="1"/>
      <c r="B33" s="1"/>
      <c r="C33" s="1"/>
      <c r="D33" s="1"/>
      <c r="E33" s="1"/>
      <c r="F33" s="1"/>
      <c r="G33" s="1"/>
      <c r="H33" s="1"/>
      <c r="I33"/>
      <c r="J33" s="75"/>
    </row>
    <row r="34" spans="1:13" x14ac:dyDescent="0.25">
      <c r="A34" s="274"/>
      <c r="B34" s="219"/>
      <c r="C34" s="284"/>
      <c r="D34" s="115"/>
      <c r="E34" s="1"/>
      <c r="F34" s="1"/>
      <c r="G34" s="1"/>
      <c r="H34" s="1"/>
      <c r="I34" s="22" t="s">
        <v>296</v>
      </c>
      <c r="J34" s="73" t="s">
        <v>297</v>
      </c>
      <c r="K34" s="73" t="s">
        <v>298</v>
      </c>
      <c r="L34" s="73" t="s">
        <v>299</v>
      </c>
      <c r="M34" s="25"/>
    </row>
    <row r="35" spans="1:13" x14ac:dyDescent="0.25">
      <c r="A35" s="274"/>
      <c r="B35" s="219"/>
      <c r="C35" s="284"/>
      <c r="D35" s="115"/>
      <c r="E35" s="1"/>
      <c r="F35" s="1"/>
      <c r="G35" s="1"/>
      <c r="H35" s="1"/>
      <c r="I35" s="384">
        <v>633.42999999999995</v>
      </c>
      <c r="J35" s="75">
        <v>2</v>
      </c>
      <c r="K35" s="75">
        <v>0</v>
      </c>
      <c r="L35" s="74">
        <f>SUM(I35*J35)+K35</f>
        <v>1266.8599999999999</v>
      </c>
      <c r="M35" s="387"/>
    </row>
    <row r="36" spans="1:13" x14ac:dyDescent="0.25">
      <c r="A36" s="274"/>
      <c r="B36" s="219"/>
      <c r="C36" s="284"/>
      <c r="D36" s="115"/>
      <c r="E36" s="1"/>
      <c r="F36" s="1"/>
      <c r="G36" s="1"/>
      <c r="H36" s="1"/>
      <c r="I36" s="384">
        <v>1080</v>
      </c>
      <c r="J36" s="75">
        <v>1</v>
      </c>
      <c r="K36" s="75">
        <f>SUM(I36/50*12.5)</f>
        <v>270</v>
      </c>
      <c r="L36" s="74">
        <f t="shared" ref="L36:L54" si="0">SUM(I36*J36)+K36</f>
        <v>1350</v>
      </c>
      <c r="M36" s="387"/>
    </row>
    <row r="37" spans="1:13" x14ac:dyDescent="0.25">
      <c r="A37" s="1"/>
      <c r="B37" s="1"/>
      <c r="C37" s="1"/>
      <c r="D37" s="1"/>
      <c r="E37" s="1"/>
      <c r="F37" s="1"/>
      <c r="G37" s="1"/>
      <c r="H37" s="1"/>
      <c r="I37" s="384">
        <v>372</v>
      </c>
      <c r="J37" s="75">
        <v>0</v>
      </c>
      <c r="K37" s="75">
        <f t="shared" ref="K37:K53" si="1">SUM(I37/50*12.5)</f>
        <v>93</v>
      </c>
      <c r="L37" s="74">
        <f t="shared" si="0"/>
        <v>93</v>
      </c>
      <c r="M37" s="387"/>
    </row>
    <row r="38" spans="1:13" x14ac:dyDescent="0.25">
      <c r="A38" s="1"/>
      <c r="B38" s="1"/>
      <c r="C38" s="1"/>
      <c r="D38" s="1"/>
      <c r="E38" s="1"/>
      <c r="F38" s="1"/>
      <c r="G38" s="1"/>
      <c r="H38" s="1"/>
      <c r="I38" s="384">
        <v>1008</v>
      </c>
      <c r="J38" s="75">
        <v>1</v>
      </c>
      <c r="K38" s="75">
        <f t="shared" si="1"/>
        <v>252</v>
      </c>
      <c r="L38" s="74">
        <f t="shared" si="0"/>
        <v>1260</v>
      </c>
      <c r="M38" s="387"/>
    </row>
    <row r="39" spans="1:13" x14ac:dyDescent="0.25">
      <c r="A39" s="1"/>
      <c r="B39" s="1"/>
      <c r="C39" s="1"/>
      <c r="D39" s="1"/>
      <c r="E39" s="1"/>
      <c r="F39" s="1"/>
      <c r="G39" s="1"/>
      <c r="H39" s="1"/>
      <c r="I39" s="384">
        <v>152</v>
      </c>
      <c r="J39" s="75">
        <v>1</v>
      </c>
      <c r="K39" s="75">
        <f t="shared" si="1"/>
        <v>38</v>
      </c>
      <c r="L39" s="74">
        <f t="shared" si="0"/>
        <v>190</v>
      </c>
      <c r="M39" s="387"/>
    </row>
    <row r="40" spans="1:13" x14ac:dyDescent="0.25">
      <c r="A40" s="1"/>
      <c r="B40" s="1"/>
      <c r="C40" s="1"/>
      <c r="D40" s="1"/>
      <c r="E40" s="1"/>
      <c r="F40" s="1"/>
      <c r="G40" s="1"/>
      <c r="H40" s="1"/>
      <c r="I40" s="384">
        <v>1060</v>
      </c>
      <c r="J40" s="75">
        <v>2</v>
      </c>
      <c r="K40" s="75">
        <f t="shared" si="1"/>
        <v>265</v>
      </c>
      <c r="L40" s="74">
        <f t="shared" si="0"/>
        <v>2385</v>
      </c>
      <c r="M40" s="387"/>
    </row>
    <row r="41" spans="1:13" x14ac:dyDescent="0.25">
      <c r="B41" s="1"/>
      <c r="C41" s="1"/>
      <c r="D41" s="1"/>
      <c r="E41" s="1"/>
      <c r="F41" s="1"/>
      <c r="G41" s="1"/>
      <c r="H41" s="1"/>
      <c r="I41" s="385">
        <v>540</v>
      </c>
      <c r="J41" s="75">
        <v>0</v>
      </c>
      <c r="K41" s="75">
        <f t="shared" si="1"/>
        <v>135</v>
      </c>
      <c r="L41" s="74">
        <f t="shared" si="0"/>
        <v>135</v>
      </c>
      <c r="M41" s="387"/>
    </row>
    <row r="42" spans="1:13" x14ac:dyDescent="0.25">
      <c r="B42" s="1"/>
      <c r="C42" s="1"/>
      <c r="D42" s="1"/>
      <c r="E42" s="1"/>
      <c r="F42" s="1"/>
      <c r="G42" s="1"/>
      <c r="H42" s="1"/>
      <c r="I42" s="386">
        <v>1204</v>
      </c>
      <c r="J42" s="75">
        <v>1</v>
      </c>
      <c r="K42" s="75">
        <f t="shared" si="1"/>
        <v>301</v>
      </c>
      <c r="L42" s="74">
        <f t="shared" si="0"/>
        <v>1505</v>
      </c>
      <c r="M42" s="387"/>
    </row>
    <row r="43" spans="1:13" x14ac:dyDescent="0.25">
      <c r="B43" s="1"/>
      <c r="C43" s="1"/>
      <c r="D43" s="1"/>
      <c r="E43" s="1"/>
      <c r="F43" s="1"/>
      <c r="G43" s="1"/>
      <c r="H43" s="1"/>
      <c r="I43" s="386">
        <v>840</v>
      </c>
      <c r="J43" s="75">
        <v>2</v>
      </c>
      <c r="K43" s="75">
        <v>0</v>
      </c>
      <c r="L43" s="74">
        <f t="shared" si="0"/>
        <v>1680</v>
      </c>
      <c r="M43" s="387"/>
    </row>
    <row r="44" spans="1:13" x14ac:dyDescent="0.25">
      <c r="C44" s="1"/>
      <c r="D44" s="1"/>
      <c r="E44" s="1"/>
      <c r="F44" s="1"/>
      <c r="G44" s="1"/>
      <c r="H44" s="1"/>
      <c r="I44" s="386">
        <v>1480</v>
      </c>
      <c r="J44" s="75">
        <v>1</v>
      </c>
      <c r="K44" s="75">
        <f t="shared" si="1"/>
        <v>370</v>
      </c>
      <c r="L44" s="74">
        <f t="shared" si="0"/>
        <v>1850</v>
      </c>
      <c r="M44" s="387"/>
    </row>
    <row r="45" spans="1:13" x14ac:dyDescent="0.25">
      <c r="C45" s="1"/>
      <c r="D45" s="1"/>
      <c r="E45" s="1"/>
      <c r="F45" s="1"/>
      <c r="G45" s="1"/>
      <c r="H45" s="1"/>
      <c r="I45" s="386">
        <v>924</v>
      </c>
      <c r="J45" s="75">
        <v>1</v>
      </c>
      <c r="K45" s="75">
        <f t="shared" si="1"/>
        <v>231</v>
      </c>
      <c r="L45" s="74">
        <f t="shared" si="0"/>
        <v>1155</v>
      </c>
      <c r="M45" s="387"/>
    </row>
    <row r="46" spans="1:13" x14ac:dyDescent="0.25">
      <c r="C46" s="1"/>
      <c r="D46" s="1"/>
      <c r="E46" s="1"/>
      <c r="F46" s="1"/>
      <c r="G46" s="1"/>
      <c r="H46" s="1"/>
      <c r="I46" s="386">
        <v>278</v>
      </c>
      <c r="J46" s="75">
        <v>2</v>
      </c>
      <c r="K46" s="75">
        <v>0</v>
      </c>
      <c r="L46" s="74">
        <f t="shared" si="0"/>
        <v>556</v>
      </c>
      <c r="M46" s="387"/>
    </row>
    <row r="47" spans="1:13" x14ac:dyDescent="0.25">
      <c r="C47" s="1"/>
      <c r="D47" s="1"/>
      <c r="E47" s="1"/>
      <c r="F47" s="1"/>
      <c r="G47" s="1"/>
      <c r="H47" s="1"/>
      <c r="I47" s="386">
        <v>1176</v>
      </c>
      <c r="J47" s="75">
        <v>1</v>
      </c>
      <c r="K47" s="75">
        <f t="shared" si="1"/>
        <v>294</v>
      </c>
      <c r="L47" s="74">
        <f t="shared" si="0"/>
        <v>1470</v>
      </c>
      <c r="M47" s="387"/>
    </row>
    <row r="48" spans="1:13" x14ac:dyDescent="0.25">
      <c r="C48" s="1"/>
      <c r="D48" s="1"/>
      <c r="E48" s="1"/>
      <c r="F48" s="1"/>
      <c r="G48" s="1"/>
      <c r="H48" s="1"/>
      <c r="I48" s="386">
        <v>269</v>
      </c>
      <c r="J48" s="75">
        <v>2</v>
      </c>
      <c r="K48" s="75">
        <v>0</v>
      </c>
      <c r="L48" s="74">
        <f t="shared" si="0"/>
        <v>538</v>
      </c>
      <c r="M48" s="387"/>
    </row>
    <row r="49" spans="3:13" x14ac:dyDescent="0.25">
      <c r="C49" s="1"/>
      <c r="D49" s="1"/>
      <c r="E49" s="1"/>
      <c r="F49" s="1"/>
      <c r="G49" s="1"/>
      <c r="H49" s="1"/>
      <c r="I49" s="386">
        <v>868</v>
      </c>
      <c r="J49" s="75">
        <v>1</v>
      </c>
      <c r="K49" s="75">
        <f t="shared" si="1"/>
        <v>217</v>
      </c>
      <c r="L49" s="74">
        <f t="shared" si="0"/>
        <v>1085</v>
      </c>
      <c r="M49" s="387"/>
    </row>
    <row r="50" spans="3:13" x14ac:dyDescent="0.25">
      <c r="C50" s="1"/>
      <c r="D50" s="1"/>
      <c r="E50" s="1"/>
      <c r="F50" s="1"/>
      <c r="G50" s="1"/>
      <c r="H50" s="1"/>
      <c r="I50" s="386">
        <v>870</v>
      </c>
      <c r="J50" s="75">
        <v>2</v>
      </c>
      <c r="K50" s="75">
        <v>0</v>
      </c>
      <c r="L50" s="74">
        <f t="shared" si="0"/>
        <v>1740</v>
      </c>
      <c r="M50" s="387"/>
    </row>
    <row r="51" spans="3:13" x14ac:dyDescent="0.25">
      <c r="C51" s="1"/>
      <c r="D51" s="1"/>
      <c r="E51" s="1"/>
      <c r="F51" s="1"/>
      <c r="G51" s="1"/>
      <c r="H51" s="1"/>
      <c r="I51" s="386">
        <v>1444</v>
      </c>
      <c r="J51" s="75">
        <v>2</v>
      </c>
      <c r="K51" s="75">
        <v>0</v>
      </c>
      <c r="L51" s="74">
        <f t="shared" si="0"/>
        <v>2888</v>
      </c>
      <c r="M51" s="387"/>
    </row>
    <row r="52" spans="3:13" x14ac:dyDescent="0.25">
      <c r="C52" s="1"/>
      <c r="D52" s="1"/>
      <c r="E52" s="1"/>
      <c r="F52" s="1"/>
      <c r="G52" s="1"/>
      <c r="H52" s="1"/>
      <c r="I52" s="386">
        <v>1540</v>
      </c>
      <c r="J52" s="75">
        <v>0</v>
      </c>
      <c r="K52" s="75">
        <f t="shared" si="1"/>
        <v>385</v>
      </c>
      <c r="L52" s="74">
        <f t="shared" si="0"/>
        <v>385</v>
      </c>
      <c r="M52" s="387"/>
    </row>
    <row r="53" spans="3:13" x14ac:dyDescent="0.25">
      <c r="C53" s="1"/>
      <c r="D53" s="1"/>
      <c r="E53" s="1"/>
      <c r="F53" s="1"/>
      <c r="G53" s="1"/>
      <c r="H53" s="1"/>
      <c r="I53" s="386">
        <v>1084</v>
      </c>
      <c r="J53" s="75">
        <v>1</v>
      </c>
      <c r="K53" s="75">
        <f t="shared" si="1"/>
        <v>271</v>
      </c>
      <c r="L53" s="74">
        <f t="shared" si="0"/>
        <v>1355</v>
      </c>
      <c r="M53" s="387"/>
    </row>
    <row r="54" spans="3:13" ht="15.75" thickBot="1" x14ac:dyDescent="0.3">
      <c r="C54" s="1"/>
      <c r="D54" s="1"/>
      <c r="E54" s="1"/>
      <c r="F54" s="1"/>
      <c r="G54" s="1"/>
      <c r="H54" s="1"/>
      <c r="I54" s="386">
        <v>4595.47</v>
      </c>
      <c r="J54" s="75">
        <v>2</v>
      </c>
      <c r="K54" s="25">
        <v>0</v>
      </c>
      <c r="L54" s="387">
        <f t="shared" si="0"/>
        <v>9190.94</v>
      </c>
      <c r="M54" s="387"/>
    </row>
    <row r="55" spans="3:13" ht="15.75" thickTop="1" x14ac:dyDescent="0.25">
      <c r="C55" s="1"/>
      <c r="D55" s="1"/>
      <c r="E55" s="1"/>
      <c r="F55" s="1"/>
      <c r="G55" s="1"/>
      <c r="H55" s="1"/>
      <c r="I55" s="349"/>
      <c r="J55" s="349"/>
      <c r="K55" s="349"/>
      <c r="L55" s="351">
        <f>SUM(L35:L54)</f>
        <v>32077.800000000003</v>
      </c>
      <c r="M55" s="387"/>
    </row>
    <row r="56" spans="3:13" x14ac:dyDescent="0.25">
      <c r="C56" s="1"/>
      <c r="D56" s="1"/>
      <c r="E56" s="1"/>
      <c r="F56" s="1"/>
      <c r="G56" s="1"/>
      <c r="H56" s="1"/>
    </row>
    <row r="57" spans="3:13" x14ac:dyDescent="0.25">
      <c r="C57" s="1"/>
      <c r="D57" s="1"/>
      <c r="E57" s="1"/>
      <c r="F57" s="1"/>
      <c r="G57" s="1"/>
      <c r="H57" s="1"/>
    </row>
    <row r="58" spans="3:13" x14ac:dyDescent="0.25">
      <c r="C58" s="1"/>
      <c r="D58" s="1"/>
      <c r="E58" s="1"/>
      <c r="F58" s="1"/>
      <c r="G58" s="1"/>
      <c r="H58" s="1"/>
    </row>
  </sheetData>
  <mergeCells count="6">
    <mergeCell ref="A2:H2"/>
    <mergeCell ref="J2:S2"/>
    <mergeCell ref="I13:J13"/>
    <mergeCell ref="E6:F6"/>
    <mergeCell ref="E7:F7"/>
    <mergeCell ref="E5:F5"/>
  </mergeCells>
  <conditionalFormatting sqref="A34:A36">
    <cfRule type="duplicateValues" dxfId="3" priority="1"/>
  </conditionalFormatting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BC6AF-FC24-473A-92EE-A6AB521CF797}">
  <sheetPr>
    <tabColor theme="9"/>
  </sheetPr>
  <dimension ref="A1:J23"/>
  <sheetViews>
    <sheetView showGridLines="0" zoomScaleNormal="100" workbookViewId="0">
      <selection activeCell="A2" sqref="A2:D9"/>
    </sheetView>
  </sheetViews>
  <sheetFormatPr defaultRowHeight="15" x14ac:dyDescent="0.25"/>
  <cols>
    <col min="1" max="1" width="9.28515625" customWidth="1"/>
    <col min="2" max="2" width="19.5703125" customWidth="1"/>
    <col min="3" max="3" width="14.28515625" customWidth="1"/>
    <col min="4" max="4" width="14.5703125" customWidth="1"/>
    <col min="5" max="1025" width="9.140625" customWidth="1"/>
  </cols>
  <sheetData>
    <row r="1" spans="1:9" ht="15" customHeight="1" x14ac:dyDescent="0.25">
      <c r="A1" s="199"/>
      <c r="B1" s="199"/>
      <c r="C1" s="199"/>
      <c r="D1" s="199"/>
    </row>
    <row r="2" spans="1:9" ht="15" customHeight="1" x14ac:dyDescent="0.25">
      <c r="A2" s="615" t="s">
        <v>165</v>
      </c>
      <c r="B2" s="615"/>
      <c r="C2" s="615"/>
      <c r="D2" s="615"/>
    </row>
    <row r="3" spans="1:9" ht="15" customHeight="1" x14ac:dyDescent="0.3">
      <c r="A3" s="210"/>
      <c r="B3" s="210"/>
      <c r="C3" s="200"/>
      <c r="D3" s="260"/>
      <c r="E3" s="28"/>
      <c r="F3" s="28"/>
    </row>
    <row r="4" spans="1:9" ht="15" customHeight="1" x14ac:dyDescent="0.3">
      <c r="A4" s="210"/>
      <c r="B4" s="210"/>
      <c r="C4" s="211"/>
      <c r="D4" s="203">
        <v>648.01</v>
      </c>
      <c r="E4" s="28"/>
      <c r="F4" s="28"/>
    </row>
    <row r="5" spans="1:9" ht="15" customHeight="1" thickBot="1" x14ac:dyDescent="0.35">
      <c r="A5" s="232" t="s">
        <v>174</v>
      </c>
      <c r="B5" s="217" t="s">
        <v>9</v>
      </c>
      <c r="C5" s="217" t="s">
        <v>3</v>
      </c>
      <c r="D5" s="217" t="s">
        <v>166</v>
      </c>
      <c r="E5" s="28"/>
      <c r="F5" s="28"/>
    </row>
    <row r="6" spans="1:9" ht="15" customHeight="1" thickTop="1" x14ac:dyDescent="0.3">
      <c r="A6" s="260"/>
      <c r="B6" s="260"/>
      <c r="C6" s="233"/>
      <c r="D6" s="233"/>
      <c r="E6" s="28"/>
      <c r="F6" s="28"/>
    </row>
    <row r="7" spans="1:9" ht="15" customHeight="1" x14ac:dyDescent="0.3">
      <c r="A7" s="202" t="s">
        <v>108</v>
      </c>
      <c r="B7" s="211" t="s">
        <v>278</v>
      </c>
      <c r="C7" s="233" t="s">
        <v>13</v>
      </c>
      <c r="D7" s="264">
        <f>(33217.47-11806.57)/5280</f>
        <v>4.0550946969696975</v>
      </c>
      <c r="E7" s="28"/>
      <c r="F7" s="28"/>
    </row>
    <row r="8" spans="1:9" ht="15" customHeight="1" x14ac:dyDescent="0.3">
      <c r="A8" s="404"/>
      <c r="B8" s="404"/>
      <c r="C8" s="403"/>
      <c r="D8" s="403"/>
      <c r="E8" s="28"/>
      <c r="F8" s="28"/>
    </row>
    <row r="9" spans="1:9" ht="15" customHeight="1" x14ac:dyDescent="0.3">
      <c r="A9" s="438" t="s">
        <v>163</v>
      </c>
      <c r="B9" s="438"/>
      <c r="C9" s="438"/>
      <c r="D9" s="427">
        <f>SUM(D7:D7)</f>
        <v>4.0550946969696975</v>
      </c>
      <c r="E9" s="28"/>
      <c r="F9" s="28"/>
    </row>
    <row r="10" spans="1:9" ht="16.7" customHeight="1" x14ac:dyDescent="0.25">
      <c r="A10" s="199"/>
      <c r="B10" s="199"/>
      <c r="C10" s="199"/>
      <c r="D10" s="199"/>
    </row>
    <row r="11" spans="1:9" ht="16.7" customHeight="1" x14ac:dyDescent="0.25">
      <c r="A11" s="199"/>
      <c r="B11" s="199"/>
      <c r="C11" s="199"/>
      <c r="D11" s="199"/>
    </row>
    <row r="12" spans="1:9" ht="16.7" customHeight="1" x14ac:dyDescent="0.25">
      <c r="A12" s="199"/>
      <c r="B12" s="199"/>
      <c r="C12" s="199"/>
      <c r="D12" s="258"/>
      <c r="E12" s="1"/>
      <c r="F12" s="1"/>
      <c r="G12" s="1"/>
      <c r="H12" s="1"/>
      <c r="I12" s="1"/>
    </row>
    <row r="13" spans="1:9" ht="16.7" customHeight="1" x14ac:dyDescent="0.25">
      <c r="A13" s="345" t="s">
        <v>245</v>
      </c>
      <c r="B13" s="199" t="s">
        <v>352</v>
      </c>
      <c r="C13" s="199"/>
      <c r="D13" s="258"/>
      <c r="E13" s="269"/>
      <c r="F13" s="269"/>
      <c r="G13" s="269"/>
      <c r="H13" s="269"/>
      <c r="I13" s="269"/>
    </row>
    <row r="14" spans="1:9" ht="16.7" customHeight="1" x14ac:dyDescent="0.25">
      <c r="A14" s="345" t="s">
        <v>221</v>
      </c>
      <c r="C14" s="211"/>
      <c r="D14" s="1"/>
      <c r="E14" s="274"/>
      <c r="F14" s="219"/>
      <c r="G14" s="284"/>
      <c r="H14" s="115"/>
      <c r="I14" s="269"/>
    </row>
    <row r="15" spans="1:9" x14ac:dyDescent="0.25">
      <c r="C15" s="211"/>
      <c r="D15" s="1"/>
      <c r="E15" s="269"/>
      <c r="F15" s="269"/>
      <c r="G15" s="269"/>
      <c r="H15" s="269"/>
      <c r="I15" s="269"/>
    </row>
    <row r="16" spans="1:9" x14ac:dyDescent="0.25">
      <c r="D16" s="1"/>
      <c r="E16" s="269"/>
      <c r="F16" s="269"/>
      <c r="G16" s="269"/>
      <c r="H16" s="269"/>
      <c r="I16" s="269"/>
    </row>
    <row r="17" spans="5:10" x14ac:dyDescent="0.25">
      <c r="E17" s="270"/>
      <c r="F17" s="270"/>
      <c r="G17" s="270"/>
      <c r="H17" s="270"/>
      <c r="I17" s="270"/>
    </row>
    <row r="20" spans="5:10" x14ac:dyDescent="0.25">
      <c r="E20" s="1"/>
      <c r="F20" s="1"/>
      <c r="G20" s="1"/>
      <c r="H20" s="1"/>
      <c r="I20" s="1"/>
      <c r="J20" s="1"/>
    </row>
    <row r="21" spans="5:10" x14ac:dyDescent="0.25">
      <c r="E21" s="274"/>
      <c r="F21" s="219"/>
      <c r="G21" s="284"/>
      <c r="H21" s="115"/>
      <c r="I21" s="1"/>
      <c r="J21" s="1"/>
    </row>
    <row r="22" spans="5:10" x14ac:dyDescent="0.25">
      <c r="E22" s="1"/>
      <c r="F22" s="1"/>
      <c r="G22" s="1"/>
      <c r="H22" s="1"/>
      <c r="I22" s="1"/>
      <c r="J22" s="1"/>
    </row>
    <row r="23" spans="5:10" x14ac:dyDescent="0.25">
      <c r="E23" s="1"/>
      <c r="F23" s="1"/>
      <c r="G23" s="1"/>
      <c r="H23" s="1"/>
      <c r="I23" s="1"/>
      <c r="J23" s="1"/>
    </row>
  </sheetData>
  <mergeCells count="1">
    <mergeCell ref="A2:D2"/>
  </mergeCells>
  <conditionalFormatting sqref="E14">
    <cfRule type="duplicateValues" dxfId="2" priority="3"/>
  </conditionalFormatting>
  <conditionalFormatting sqref="E21">
    <cfRule type="duplicateValues" dxfId="1" priority="2"/>
  </conditionalFormatting>
  <conditionalFormatting sqref="A13:A14">
    <cfRule type="containsText" dxfId="0" priority="1" operator="containsText" text="1-"/>
  </conditionalFormatting>
  <pageMargins left="0.7" right="0.7" top="0.75" bottom="0.75" header="0.51180555555555496" footer="0.51180555555555496"/>
  <pageSetup firstPageNumber="0" orientation="portrait" horizontalDpi="300" verticalDpi="30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9"/>
  </sheetPr>
  <dimension ref="A1:O22"/>
  <sheetViews>
    <sheetView showGridLines="0" zoomScaleNormal="100" workbookViewId="0">
      <selection activeCell="A2" sqref="A2:E12"/>
    </sheetView>
  </sheetViews>
  <sheetFormatPr defaultRowHeight="15" x14ac:dyDescent="0.25"/>
  <cols>
    <col min="1" max="1" width="11.28515625" customWidth="1"/>
    <col min="2" max="2" width="19.140625" customWidth="1"/>
    <col min="3" max="3" width="16.5703125" customWidth="1"/>
    <col min="4" max="4" width="17" customWidth="1"/>
    <col min="5" max="5" width="20.140625" customWidth="1"/>
    <col min="6" max="6" width="20.28515625" customWidth="1"/>
    <col min="7" max="7" width="23.5703125" customWidth="1"/>
    <col min="8" max="1024" width="9.140625" customWidth="1"/>
  </cols>
  <sheetData>
    <row r="1" spans="1:15" ht="15" customHeight="1" x14ac:dyDescent="0.25">
      <c r="A1" s="199"/>
      <c r="B1" s="199"/>
      <c r="C1" s="199"/>
      <c r="D1" s="199"/>
      <c r="E1" s="199"/>
      <c r="F1" s="63"/>
      <c r="G1" s="63"/>
    </row>
    <row r="2" spans="1:15" ht="15" customHeight="1" x14ac:dyDescent="0.25">
      <c r="A2" s="615" t="s">
        <v>84</v>
      </c>
      <c r="B2" s="615"/>
      <c r="C2" s="615"/>
      <c r="D2" s="615"/>
      <c r="E2" s="615"/>
      <c r="F2" s="64"/>
      <c r="G2" s="64"/>
    </row>
    <row r="3" spans="1:15" ht="15" customHeight="1" x14ac:dyDescent="0.25">
      <c r="A3" s="200"/>
      <c r="B3" s="200"/>
      <c r="C3" s="200"/>
      <c r="D3" s="201"/>
      <c r="E3" s="201"/>
      <c r="F3" s="1"/>
      <c r="G3" s="1"/>
    </row>
    <row r="4" spans="1:15" ht="15" customHeight="1" x14ac:dyDescent="0.25">
      <c r="A4" s="200"/>
      <c r="B4" s="200"/>
      <c r="C4" s="200"/>
      <c r="D4" s="203">
        <v>650.79999999999995</v>
      </c>
      <c r="E4" s="203" t="s">
        <v>85</v>
      </c>
      <c r="F4" s="1"/>
      <c r="G4" s="1"/>
    </row>
    <row r="5" spans="1:15" ht="15" customHeight="1" x14ac:dyDescent="0.25">
      <c r="A5" s="202"/>
      <c r="B5" s="202"/>
      <c r="C5" s="202"/>
      <c r="D5" s="203"/>
      <c r="E5" s="203" t="s">
        <v>86</v>
      </c>
      <c r="F5" s="1"/>
      <c r="G5" s="1"/>
    </row>
    <row r="6" spans="1:15" ht="15" customHeight="1" x14ac:dyDescent="0.25">
      <c r="A6" s="202"/>
      <c r="B6" s="202"/>
      <c r="C6" s="202"/>
      <c r="D6" s="203" t="s">
        <v>87</v>
      </c>
      <c r="E6" s="203" t="s">
        <v>88</v>
      </c>
      <c r="F6" s="1"/>
      <c r="G6" s="1"/>
    </row>
    <row r="7" spans="1:15" ht="15" customHeight="1" x14ac:dyDescent="0.25">
      <c r="A7" s="202"/>
      <c r="B7" s="202"/>
      <c r="C7" s="202"/>
      <c r="D7" s="203" t="s">
        <v>89</v>
      </c>
      <c r="E7" s="203" t="s">
        <v>155</v>
      </c>
      <c r="F7" s="1"/>
      <c r="G7" s="1"/>
      <c r="M7" s="1"/>
      <c r="N7" s="1"/>
      <c r="O7" s="1"/>
    </row>
    <row r="8" spans="1:15" ht="15" customHeight="1" thickBot="1" x14ac:dyDescent="0.3">
      <c r="A8" s="232" t="s">
        <v>174</v>
      </c>
      <c r="B8" s="217" t="s">
        <v>9</v>
      </c>
      <c r="C8" s="217" t="s">
        <v>3</v>
      </c>
      <c r="D8" s="217" t="s">
        <v>14</v>
      </c>
      <c r="E8" s="217" t="s">
        <v>8</v>
      </c>
      <c r="F8" s="1"/>
      <c r="G8" s="1"/>
      <c r="M8" s="1"/>
      <c r="N8" s="1"/>
      <c r="O8" s="1"/>
    </row>
    <row r="9" spans="1:15" ht="15" customHeight="1" thickTop="1" x14ac:dyDescent="0.25">
      <c r="A9" s="260"/>
      <c r="B9" s="260"/>
      <c r="C9" s="233"/>
      <c r="D9" s="233"/>
      <c r="E9" s="233"/>
      <c r="F9" s="1"/>
      <c r="G9" s="1"/>
      <c r="M9" s="66"/>
      <c r="N9" s="1"/>
      <c r="O9" s="1"/>
    </row>
    <row r="10" spans="1:15" ht="15" customHeight="1" x14ac:dyDescent="0.25">
      <c r="A10" s="214" t="s">
        <v>108</v>
      </c>
      <c r="B10" s="407" t="s">
        <v>278</v>
      </c>
      <c r="C10" s="233" t="s">
        <v>13</v>
      </c>
      <c r="D10" s="215">
        <v>21411</v>
      </c>
      <c r="E10" s="233">
        <v>1</v>
      </c>
      <c r="F10" s="1"/>
      <c r="G10" s="1"/>
      <c r="M10" s="66"/>
      <c r="N10" s="1"/>
      <c r="O10" s="1"/>
    </row>
    <row r="11" spans="1:15" ht="15" customHeight="1" x14ac:dyDescent="0.25">
      <c r="A11" s="404"/>
      <c r="B11" s="404"/>
      <c r="C11" s="403"/>
      <c r="D11" s="215"/>
      <c r="E11" s="403"/>
      <c r="F11" s="1"/>
      <c r="G11" s="1"/>
      <c r="M11" s="1"/>
      <c r="N11" s="1"/>
      <c r="O11" s="1"/>
    </row>
    <row r="12" spans="1:15" ht="15" customHeight="1" x14ac:dyDescent="0.25">
      <c r="A12" s="413" t="s">
        <v>162</v>
      </c>
      <c r="B12" s="413"/>
      <c r="C12" s="414"/>
      <c r="D12" s="417">
        <f>SUM(D10:D10)</f>
        <v>21411</v>
      </c>
      <c r="E12" s="415">
        <f>SUM(E10:E10)</f>
        <v>1</v>
      </c>
      <c r="F12" s="1"/>
      <c r="G12" s="1"/>
      <c r="M12" s="1"/>
      <c r="N12" s="1"/>
      <c r="O12" s="1"/>
    </row>
    <row r="13" spans="1:15" ht="16.7" customHeight="1" x14ac:dyDescent="0.25">
      <c r="A13" s="210"/>
      <c r="B13" s="210"/>
      <c r="C13" s="210"/>
      <c r="D13" s="233"/>
      <c r="E13" s="233"/>
      <c r="F13" s="1"/>
      <c r="G13" s="1"/>
      <c r="M13" s="1"/>
      <c r="N13" s="1"/>
      <c r="O13" s="1"/>
    </row>
    <row r="14" spans="1:15" ht="16.7" customHeight="1" x14ac:dyDescent="0.25">
      <c r="A14" s="210"/>
      <c r="B14" s="210"/>
      <c r="C14" s="210"/>
      <c r="D14" s="210"/>
      <c r="E14" s="210"/>
      <c r="F14" s="13"/>
      <c r="G14" s="1"/>
      <c r="M14" s="1"/>
      <c r="N14" s="1"/>
      <c r="O14" s="1"/>
    </row>
    <row r="15" spans="1:15" x14ac:dyDescent="0.25">
      <c r="M15" s="1"/>
      <c r="N15" s="1"/>
      <c r="O15" s="1"/>
    </row>
    <row r="16" spans="1:15" x14ac:dyDescent="0.25">
      <c r="M16" s="1"/>
      <c r="N16" s="1"/>
      <c r="O16" s="1"/>
    </row>
    <row r="17" spans="1:15" ht="16.7" customHeight="1" x14ac:dyDescent="0.3">
      <c r="A17" s="346" t="s">
        <v>244</v>
      </c>
      <c r="B17" s="28"/>
      <c r="C17" s="28"/>
      <c r="D17" s="28"/>
      <c r="E17" s="28"/>
      <c r="F17" s="28"/>
      <c r="M17" s="1"/>
      <c r="N17" s="1"/>
      <c r="O17" s="1"/>
    </row>
    <row r="18" spans="1:15" ht="16.7" customHeight="1" x14ac:dyDescent="0.25">
      <c r="A18" s="346" t="s">
        <v>221</v>
      </c>
      <c r="M18" s="1"/>
      <c r="N18" s="1"/>
      <c r="O18" s="1"/>
    </row>
    <row r="19" spans="1:15" x14ac:dyDescent="0.25">
      <c r="M19" s="1"/>
      <c r="N19" s="1"/>
      <c r="O19" s="1"/>
    </row>
    <row r="20" spans="1:15" x14ac:dyDescent="0.25">
      <c r="M20" s="1"/>
      <c r="N20" s="1"/>
      <c r="O20" s="1"/>
    </row>
    <row r="21" spans="1:15" x14ac:dyDescent="0.25">
      <c r="M21" s="1"/>
      <c r="N21" s="1"/>
      <c r="O21" s="1"/>
    </row>
    <row r="22" spans="1:15" x14ac:dyDescent="0.25">
      <c r="M22" s="1"/>
      <c r="N22" s="1"/>
      <c r="O22" s="1"/>
    </row>
  </sheetData>
  <mergeCells count="1">
    <mergeCell ref="A2:E2"/>
  </mergeCells>
  <pageMargins left="0.7" right="0.7" top="0.75" bottom="0.75" header="0.51180555555555496" footer="0.51180555555555496"/>
  <pageSetup firstPageNumber="0" orientation="portrait" horizontalDpi="300" verticalDpi="30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9"/>
  </sheetPr>
  <dimension ref="A1:V43"/>
  <sheetViews>
    <sheetView showGridLines="0" zoomScaleNormal="100" workbookViewId="0">
      <selection activeCell="A2" sqref="A2:C9"/>
    </sheetView>
  </sheetViews>
  <sheetFormatPr defaultRowHeight="15" x14ac:dyDescent="0.25"/>
  <cols>
    <col min="1" max="1" width="19" customWidth="1"/>
    <col min="2" max="2" width="18.85546875" customWidth="1"/>
    <col min="3" max="3" width="32" style="1" customWidth="1"/>
    <col min="4" max="10" width="9.140625" customWidth="1"/>
    <col min="11" max="11" width="21.5703125" bestFit="1" customWidth="1"/>
    <col min="12" max="12" width="8.42578125" bestFit="1" customWidth="1"/>
    <col min="13" max="13" width="9.28515625" bestFit="1" customWidth="1"/>
    <col min="14" max="1024" width="9.140625" customWidth="1"/>
  </cols>
  <sheetData>
    <row r="1" spans="1:22" ht="15" customHeight="1" x14ac:dyDescent="0.25">
      <c r="A1" s="522"/>
      <c r="B1" s="522"/>
      <c r="C1" s="523"/>
      <c r="K1" s="498"/>
      <c r="L1" s="498"/>
      <c r="M1" s="499"/>
    </row>
    <row r="2" spans="1:22" ht="15" customHeight="1" x14ac:dyDescent="0.25">
      <c r="A2" s="644" t="s">
        <v>90</v>
      </c>
      <c r="B2" s="644"/>
      <c r="C2" s="644"/>
      <c r="H2" s="643" t="s">
        <v>349</v>
      </c>
      <c r="I2" s="643"/>
      <c r="J2" s="643"/>
      <c r="K2" s="642" t="s">
        <v>90</v>
      </c>
      <c r="L2" s="642"/>
      <c r="M2" s="642"/>
    </row>
    <row r="3" spans="1:22" ht="15" customHeight="1" x14ac:dyDescent="0.3">
      <c r="A3" s="524"/>
      <c r="B3" s="524"/>
      <c r="C3" s="523"/>
      <c r="D3" s="28"/>
      <c r="E3" s="28"/>
      <c r="H3" s="643"/>
      <c r="I3" s="643"/>
      <c r="J3" s="643"/>
      <c r="K3" s="500"/>
      <c r="L3" s="500"/>
      <c r="M3" s="499"/>
    </row>
    <row r="4" spans="1:22" ht="15" customHeight="1" x14ac:dyDescent="0.3">
      <c r="A4" s="524"/>
      <c r="B4" s="525">
        <v>690.01499999999999</v>
      </c>
      <c r="C4" s="523"/>
      <c r="D4" s="28"/>
      <c r="E4" s="28"/>
      <c r="K4" s="500"/>
      <c r="L4" s="501">
        <v>690.01499999999999</v>
      </c>
      <c r="M4" s="499"/>
    </row>
    <row r="5" spans="1:22" ht="15" customHeight="1" thickBot="1" x14ac:dyDescent="0.35">
      <c r="A5" s="526" t="s">
        <v>174</v>
      </c>
      <c r="B5" s="495" t="s">
        <v>14</v>
      </c>
      <c r="C5" s="526" t="s">
        <v>5</v>
      </c>
      <c r="D5" s="28"/>
      <c r="E5" s="28"/>
      <c r="K5" s="502" t="s">
        <v>174</v>
      </c>
      <c r="L5" s="503" t="s">
        <v>14</v>
      </c>
      <c r="M5" s="502" t="s">
        <v>5</v>
      </c>
    </row>
    <row r="6" spans="1:22" ht="15" customHeight="1" thickTop="1" x14ac:dyDescent="0.3">
      <c r="A6" s="527"/>
      <c r="B6" s="527"/>
      <c r="C6" s="528"/>
      <c r="D6" s="28"/>
      <c r="E6" s="28"/>
      <c r="K6" s="504"/>
      <c r="L6" s="504"/>
      <c r="M6" s="505"/>
    </row>
    <row r="7" spans="1:22" ht="15" customHeight="1" x14ac:dyDescent="0.25">
      <c r="A7" s="529" t="s">
        <v>108</v>
      </c>
      <c r="B7" s="539">
        <f>200*2000/115/10/4.5*36</f>
        <v>2782.608695652174</v>
      </c>
      <c r="C7" s="546" t="s">
        <v>360</v>
      </c>
      <c r="D7" s="546"/>
      <c r="E7" s="546"/>
      <c r="F7" s="546"/>
      <c r="G7" s="546"/>
      <c r="H7" s="546"/>
      <c r="I7" s="546"/>
      <c r="K7" s="506" t="s">
        <v>108</v>
      </c>
      <c r="L7" s="507"/>
      <c r="M7" s="508"/>
    </row>
    <row r="8" spans="1:22" ht="15" customHeight="1" x14ac:dyDescent="0.25">
      <c r="A8" s="530"/>
      <c r="B8" s="531"/>
      <c r="C8" s="546"/>
      <c r="D8" s="546"/>
      <c r="E8" s="546"/>
      <c r="F8" s="546"/>
      <c r="G8" s="546"/>
      <c r="H8" s="546"/>
      <c r="I8" s="546"/>
      <c r="J8" s="1"/>
      <c r="K8" s="509" t="s">
        <v>237</v>
      </c>
      <c r="L8" s="510">
        <v>44</v>
      </c>
      <c r="M8" s="511"/>
      <c r="N8" s="1"/>
      <c r="O8" s="1"/>
      <c r="P8" s="1"/>
      <c r="Q8" s="1"/>
      <c r="R8" s="1"/>
      <c r="S8" s="1"/>
      <c r="T8" s="1"/>
      <c r="U8" s="1"/>
      <c r="V8" s="1"/>
    </row>
    <row r="9" spans="1:22" ht="15" customHeight="1" x14ac:dyDescent="0.3">
      <c r="A9" s="437" t="s">
        <v>163</v>
      </c>
      <c r="B9" s="540">
        <f>B7</f>
        <v>2782.608695652174</v>
      </c>
      <c r="C9" s="535"/>
      <c r="D9" s="28"/>
      <c r="E9" s="28"/>
      <c r="K9" s="509" t="s">
        <v>238</v>
      </c>
      <c r="L9" s="510">
        <v>30</v>
      </c>
      <c r="M9" s="499"/>
    </row>
    <row r="10" spans="1:22" ht="15" customHeight="1" x14ac:dyDescent="0.25">
      <c r="A10" s="530"/>
      <c r="B10" s="533"/>
      <c r="C10" s="523"/>
      <c r="K10" s="509"/>
      <c r="L10" s="512"/>
      <c r="M10" s="499"/>
    </row>
    <row r="11" spans="1:22" ht="15" customHeight="1" x14ac:dyDescent="0.25">
      <c r="A11" s="347"/>
      <c r="B11" s="533"/>
      <c r="C11" s="523"/>
      <c r="K11" s="513" t="s">
        <v>109</v>
      </c>
      <c r="L11" s="512"/>
      <c r="M11" s="499"/>
    </row>
    <row r="12" spans="1:22" ht="15" customHeight="1" x14ac:dyDescent="0.25">
      <c r="A12" s="347"/>
      <c r="B12" s="531"/>
      <c r="C12" s="269"/>
      <c r="K12" s="514" t="s">
        <v>222</v>
      </c>
      <c r="L12" s="510">
        <v>24</v>
      </c>
      <c r="M12" s="515"/>
    </row>
    <row r="13" spans="1:22" ht="15" customHeight="1" x14ac:dyDescent="0.25">
      <c r="A13" s="347"/>
      <c r="B13" s="531"/>
      <c r="C13" s="269"/>
      <c r="E13" s="203"/>
      <c r="K13" s="514" t="s">
        <v>223</v>
      </c>
      <c r="L13" s="510">
        <v>30</v>
      </c>
      <c r="M13" s="515"/>
    </row>
    <row r="14" spans="1:22" ht="15" customHeight="1" x14ac:dyDescent="0.25">
      <c r="A14" s="347"/>
      <c r="B14" s="531"/>
      <c r="C14" s="269"/>
      <c r="E14" s="211"/>
      <c r="K14" s="514" t="s">
        <v>226</v>
      </c>
      <c r="L14" s="510">
        <v>26</v>
      </c>
      <c r="M14" s="515"/>
    </row>
    <row r="15" spans="1:22" ht="15" customHeight="1" x14ac:dyDescent="0.25">
      <c r="A15" s="347"/>
      <c r="B15" s="531"/>
      <c r="C15" s="269"/>
      <c r="E15" s="211"/>
      <c r="K15" s="514" t="s">
        <v>224</v>
      </c>
      <c r="L15" s="510">
        <v>26</v>
      </c>
      <c r="M15" s="515"/>
    </row>
    <row r="16" spans="1:22" ht="15" customHeight="1" x14ac:dyDescent="0.25">
      <c r="A16" s="347"/>
      <c r="B16" s="531"/>
      <c r="C16" s="269"/>
      <c r="E16" s="211"/>
      <c r="K16" s="514" t="s">
        <v>228</v>
      </c>
      <c r="L16" s="510">
        <v>27</v>
      </c>
      <c r="M16" s="515"/>
    </row>
    <row r="17" spans="1:13" ht="15" customHeight="1" x14ac:dyDescent="0.25">
      <c r="A17" s="347"/>
      <c r="B17" s="531"/>
      <c r="C17" s="269"/>
      <c r="D17" s="1"/>
      <c r="E17" s="459"/>
      <c r="K17" s="514" t="s">
        <v>229</v>
      </c>
      <c r="L17" s="510">
        <v>23</v>
      </c>
      <c r="M17" s="515"/>
    </row>
    <row r="18" spans="1:13" ht="15" customHeight="1" x14ac:dyDescent="0.25">
      <c r="A18" s="347"/>
      <c r="B18" s="534"/>
      <c r="C18" s="532"/>
      <c r="D18" s="1"/>
      <c r="E18" s="1"/>
      <c r="K18" s="516" t="s">
        <v>225</v>
      </c>
      <c r="L18" s="517">
        <v>29</v>
      </c>
      <c r="M18" s="511"/>
    </row>
    <row r="19" spans="1:13" ht="15" customHeight="1" x14ac:dyDescent="0.25">
      <c r="D19" s="1"/>
      <c r="E19" s="1"/>
      <c r="K19" s="518" t="s">
        <v>163</v>
      </c>
      <c r="L19" s="519">
        <f>SUM(L8:L18)</f>
        <v>259</v>
      </c>
      <c r="M19" s="520"/>
    </row>
    <row r="20" spans="1:13" x14ac:dyDescent="0.25">
      <c r="A20" s="270"/>
      <c r="B20" s="270"/>
      <c r="C20" s="269"/>
      <c r="K20" s="521"/>
      <c r="L20" s="521"/>
      <c r="M20" s="515"/>
    </row>
    <row r="21" spans="1:13" x14ac:dyDescent="0.25">
      <c r="A21" s="270"/>
      <c r="B21" s="270"/>
      <c r="C21" s="269"/>
      <c r="K21" s="521"/>
      <c r="L21" s="521"/>
      <c r="M21" s="515"/>
    </row>
    <row r="22" spans="1:13" x14ac:dyDescent="0.25">
      <c r="A22" s="270" t="s">
        <v>350</v>
      </c>
      <c r="B22" s="270"/>
      <c r="C22" s="269"/>
      <c r="K22" s="521" t="s">
        <v>235</v>
      </c>
      <c r="L22" s="521"/>
      <c r="M22" s="515"/>
    </row>
    <row r="23" spans="1:13" x14ac:dyDescent="0.25">
      <c r="A23" s="270" t="s">
        <v>221</v>
      </c>
      <c r="B23" s="270"/>
      <c r="C23" s="269"/>
      <c r="K23" s="521" t="s">
        <v>221</v>
      </c>
      <c r="L23" s="521"/>
      <c r="M23" s="515"/>
    </row>
    <row r="25" spans="1:13" x14ac:dyDescent="0.25">
      <c r="A25" s="643"/>
    </row>
    <row r="26" spans="1:13" x14ac:dyDescent="0.25">
      <c r="A26" s="643"/>
    </row>
    <row r="27" spans="1:13" x14ac:dyDescent="0.25">
      <c r="E27" t="s">
        <v>227</v>
      </c>
    </row>
    <row r="28" spans="1:13" x14ac:dyDescent="0.25">
      <c r="A28" s="635"/>
      <c r="B28" s="645"/>
      <c r="C28" s="636"/>
      <c r="D28" s="636"/>
      <c r="E28" s="636"/>
      <c r="F28" s="636"/>
      <c r="G28" s="636"/>
      <c r="H28" s="636"/>
      <c r="I28" s="636"/>
      <c r="J28" s="636"/>
    </row>
    <row r="29" spans="1:13" x14ac:dyDescent="0.25">
      <c r="A29" s="635"/>
      <c r="B29" s="645"/>
      <c r="C29" s="636"/>
      <c r="D29" s="636"/>
      <c r="E29" s="636"/>
      <c r="F29" s="636"/>
      <c r="G29" s="636"/>
      <c r="H29" s="636"/>
      <c r="I29" s="636"/>
      <c r="J29" s="636"/>
    </row>
    <row r="30" spans="1:13" x14ac:dyDescent="0.25">
      <c r="A30" s="537"/>
      <c r="B30" s="538"/>
      <c r="C30" s="646"/>
      <c r="D30" s="646"/>
      <c r="E30" s="646"/>
      <c r="F30" s="646"/>
      <c r="G30" s="646"/>
      <c r="H30" s="646"/>
      <c r="I30" s="646"/>
      <c r="J30" s="646"/>
      <c r="L30">
        <f>6*15/9</f>
        <v>10</v>
      </c>
    </row>
    <row r="31" spans="1:13" x14ac:dyDescent="0.25">
      <c r="A31" s="635"/>
      <c r="B31" s="645"/>
      <c r="C31" s="646"/>
      <c r="D31" s="646"/>
      <c r="E31" s="646"/>
      <c r="F31" s="646"/>
      <c r="G31" s="646"/>
      <c r="H31" s="646"/>
      <c r="I31" s="646"/>
      <c r="J31" s="646"/>
    </row>
    <row r="32" spans="1:13" x14ac:dyDescent="0.25">
      <c r="A32" s="635"/>
      <c r="B32" s="645"/>
      <c r="C32" s="646"/>
      <c r="D32" s="646"/>
      <c r="E32" s="646"/>
      <c r="F32" s="646"/>
      <c r="G32" s="646"/>
      <c r="H32" s="646"/>
      <c r="I32" s="646"/>
      <c r="J32" s="646"/>
    </row>
    <row r="33" spans="1:10" x14ac:dyDescent="0.25">
      <c r="A33" s="639"/>
      <c r="B33" s="640"/>
      <c r="C33" s="641"/>
      <c r="D33" s="641"/>
      <c r="E33" s="641"/>
      <c r="F33" s="641"/>
      <c r="G33" s="641"/>
      <c r="H33" s="641"/>
      <c r="I33" s="641"/>
      <c r="J33" s="641"/>
    </row>
    <row r="34" spans="1:10" x14ac:dyDescent="0.25">
      <c r="A34" s="639"/>
      <c r="B34" s="640"/>
      <c r="C34" s="641"/>
      <c r="D34" s="641"/>
      <c r="E34" s="641"/>
      <c r="F34" s="641"/>
      <c r="G34" s="641"/>
      <c r="H34" s="641"/>
      <c r="I34" s="641"/>
      <c r="J34" s="641"/>
    </row>
    <row r="35" spans="1:10" x14ac:dyDescent="0.25">
      <c r="A35" s="635"/>
      <c r="B35" s="638"/>
      <c r="C35" s="637"/>
      <c r="D35" s="637"/>
      <c r="E35" s="637"/>
      <c r="F35" s="637"/>
      <c r="G35" s="637"/>
      <c r="H35" s="637"/>
      <c r="I35" s="637"/>
      <c r="J35" s="637"/>
    </row>
    <row r="36" spans="1:10" x14ac:dyDescent="0.25">
      <c r="A36" s="635"/>
      <c r="B36" s="638"/>
      <c r="C36" s="637"/>
      <c r="D36" s="637"/>
      <c r="E36" s="637"/>
      <c r="F36" s="637"/>
      <c r="G36" s="637"/>
      <c r="H36" s="637"/>
      <c r="I36" s="637"/>
      <c r="J36" s="637"/>
    </row>
    <row r="37" spans="1:10" x14ac:dyDescent="0.25">
      <c r="A37" s="635"/>
      <c r="B37" s="636"/>
      <c r="C37" s="637"/>
      <c r="D37" s="637"/>
      <c r="E37" s="637"/>
      <c r="F37" s="637"/>
      <c r="G37" s="637"/>
      <c r="H37" s="637"/>
      <c r="I37" s="637"/>
      <c r="J37" s="637"/>
    </row>
    <row r="38" spans="1:10" x14ac:dyDescent="0.25">
      <c r="A38" s="635"/>
      <c r="B38" s="636"/>
      <c r="C38" s="637"/>
      <c r="D38" s="637"/>
      <c r="E38" s="637"/>
      <c r="F38" s="637"/>
      <c r="G38" s="637"/>
      <c r="H38" s="637"/>
      <c r="I38" s="637"/>
      <c r="J38" s="637"/>
    </row>
    <row r="39" spans="1:10" x14ac:dyDescent="0.25">
      <c r="A39" s="635"/>
      <c r="B39" s="638"/>
      <c r="C39" s="637"/>
      <c r="D39" s="637"/>
      <c r="E39" s="637"/>
      <c r="F39" s="637"/>
      <c r="G39" s="637"/>
      <c r="H39" s="637"/>
      <c r="I39" s="637"/>
      <c r="J39" s="637"/>
    </row>
    <row r="40" spans="1:10" x14ac:dyDescent="0.25">
      <c r="A40" s="635"/>
      <c r="B40" s="636"/>
      <c r="C40" s="637"/>
      <c r="D40" s="637"/>
      <c r="E40" s="637"/>
      <c r="F40" s="637"/>
      <c r="G40" s="637"/>
      <c r="H40" s="637"/>
      <c r="I40" s="637"/>
      <c r="J40" s="637"/>
    </row>
    <row r="41" spans="1:10" x14ac:dyDescent="0.25">
      <c r="C41"/>
    </row>
    <row r="42" spans="1:10" x14ac:dyDescent="0.25">
      <c r="C42"/>
    </row>
    <row r="43" spans="1:10" x14ac:dyDescent="0.25">
      <c r="C43"/>
    </row>
  </sheetData>
  <mergeCells count="23">
    <mergeCell ref="K2:M2"/>
    <mergeCell ref="H2:J3"/>
    <mergeCell ref="A2:C2"/>
    <mergeCell ref="A25:A26"/>
    <mergeCell ref="A31:A32"/>
    <mergeCell ref="B31:B32"/>
    <mergeCell ref="A28:A29"/>
    <mergeCell ref="B28:B29"/>
    <mergeCell ref="C28:J29"/>
    <mergeCell ref="C30:J30"/>
    <mergeCell ref="C31:J32"/>
    <mergeCell ref="A33:A34"/>
    <mergeCell ref="B33:B34"/>
    <mergeCell ref="C33:J34"/>
    <mergeCell ref="A35:A36"/>
    <mergeCell ref="B35:B36"/>
    <mergeCell ref="C35:J36"/>
    <mergeCell ref="A37:A38"/>
    <mergeCell ref="B37:B38"/>
    <mergeCell ref="C37:J38"/>
    <mergeCell ref="A39:A40"/>
    <mergeCell ref="B39:B40"/>
    <mergeCell ref="C39:J40"/>
  </mergeCells>
  <pageMargins left="0.7" right="0.7" top="0.75" bottom="0.75" header="0.51180555555555496" footer="0.51180555555555496"/>
  <pageSetup firstPageNumber="0" orientation="portrait" horizontalDpi="300" verticalDpi="30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3CBBD-C73A-4405-A615-F0505FAE5182}">
  <sheetPr>
    <tabColor theme="9"/>
  </sheetPr>
  <dimension ref="A1:AML66"/>
  <sheetViews>
    <sheetView showGridLines="0" zoomScaleNormal="100" workbookViewId="0">
      <selection activeCell="E7" sqref="E7"/>
    </sheetView>
  </sheetViews>
  <sheetFormatPr defaultRowHeight="18" x14ac:dyDescent="0.25"/>
  <cols>
    <col min="1" max="1" width="14.5703125" style="6" customWidth="1"/>
    <col min="2" max="2" width="15.5703125" style="6" customWidth="1"/>
    <col min="3" max="3" width="15.7109375" style="7" customWidth="1"/>
    <col min="4" max="4" width="15.85546875" style="7" customWidth="1"/>
    <col min="5" max="5" width="28.7109375" style="3" customWidth="1"/>
    <col min="6" max="6" width="55.140625" style="3" customWidth="1"/>
    <col min="7" max="7" width="8.85546875" style="6" customWidth="1"/>
    <col min="8" max="8" width="54.7109375" style="6" customWidth="1"/>
    <col min="9" max="11" width="8.85546875" style="6" customWidth="1"/>
    <col min="12" max="12" width="65.7109375" style="6" customWidth="1"/>
    <col min="13" max="1026" width="8.85546875" style="6" customWidth="1"/>
  </cols>
  <sheetData>
    <row r="1" spans="1:47" ht="15" customHeight="1" x14ac:dyDescent="0.25">
      <c r="A1" s="8"/>
      <c r="B1" s="8"/>
      <c r="C1" s="182"/>
      <c r="D1" s="182"/>
    </row>
    <row r="2" spans="1:47" ht="15" customHeight="1" x14ac:dyDescent="0.25">
      <c r="A2" s="611" t="s">
        <v>406</v>
      </c>
      <c r="B2" s="611"/>
      <c r="C2" s="611"/>
      <c r="D2" s="611"/>
      <c r="E2" s="611"/>
    </row>
    <row r="3" spans="1:47" ht="15" customHeight="1" x14ac:dyDescent="0.25">
      <c r="A3" s="156"/>
      <c r="B3" s="156"/>
      <c r="C3" s="156"/>
      <c r="D3" s="157"/>
      <c r="E3" s="165"/>
    </row>
    <row r="4" spans="1:47" ht="15" customHeight="1" x14ac:dyDescent="0.25">
      <c r="A4" s="162"/>
      <c r="B4" s="162"/>
      <c r="C4" s="157"/>
      <c r="D4" s="155" t="s">
        <v>175</v>
      </c>
      <c r="E4" s="159"/>
    </row>
    <row r="5" spans="1:47" ht="15" customHeight="1" thickBot="1" x14ac:dyDescent="0.3">
      <c r="A5" s="191" t="s">
        <v>174</v>
      </c>
      <c r="B5" s="191" t="s">
        <v>2</v>
      </c>
      <c r="C5" s="192" t="s">
        <v>3</v>
      </c>
      <c r="D5" s="192" t="s">
        <v>4</v>
      </c>
      <c r="E5" s="191" t="s">
        <v>5</v>
      </c>
    </row>
    <row r="6" spans="1:47" ht="15" customHeight="1" thickTop="1" x14ac:dyDescent="0.25">
      <c r="A6" s="159"/>
      <c r="B6" s="159"/>
      <c r="C6" s="229"/>
      <c r="D6" s="229"/>
      <c r="E6" s="229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15" customHeight="1" x14ac:dyDescent="0.25">
      <c r="A7" s="162" t="s">
        <v>108</v>
      </c>
      <c r="B7" s="166" t="s">
        <v>106</v>
      </c>
      <c r="C7" s="157" t="s">
        <v>7</v>
      </c>
      <c r="D7" s="163">
        <v>1</v>
      </c>
      <c r="E7" s="165" t="s">
        <v>203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</row>
    <row r="8" spans="1:47" ht="15" customHeight="1" x14ac:dyDescent="0.25">
      <c r="A8" s="162" t="s">
        <v>108</v>
      </c>
      <c r="B8" s="166" t="s">
        <v>107</v>
      </c>
      <c r="C8" s="157" t="s">
        <v>7</v>
      </c>
      <c r="D8" s="163">
        <v>1</v>
      </c>
      <c r="E8" s="165" t="s">
        <v>203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</row>
    <row r="9" spans="1:47" ht="15" customHeight="1" thickBot="1" x14ac:dyDescent="0.3">
      <c r="A9" s="193"/>
      <c r="B9" s="193"/>
      <c r="C9" s="158"/>
      <c r="D9" s="194"/>
      <c r="E9" s="194"/>
      <c r="G9" s="3"/>
      <c r="H9" s="19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</row>
    <row r="10" spans="1:47" s="17" customFormat="1" ht="15" customHeight="1" x14ac:dyDescent="0.25">
      <c r="A10" s="159" t="s">
        <v>163</v>
      </c>
      <c r="B10" s="159"/>
      <c r="C10" s="229"/>
      <c r="D10" s="168">
        <f>SUM(D7:D8)</f>
        <v>2</v>
      </c>
      <c r="E10" s="16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</row>
    <row r="11" spans="1:47" ht="16.7" customHeight="1" x14ac:dyDescent="0.25">
      <c r="A11" s="169"/>
      <c r="B11" s="169"/>
      <c r="C11" s="170"/>
      <c r="D11" s="170"/>
      <c r="E11" s="165"/>
      <c r="G11" s="3"/>
      <c r="H11" s="15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</row>
    <row r="12" spans="1:47" ht="16.7" customHeight="1" x14ac:dyDescent="0.25">
      <c r="G12" s="3"/>
      <c r="H12" s="1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</row>
    <row r="13" spans="1:47" ht="16.7" customHeight="1" x14ac:dyDescent="0.25">
      <c r="A13" t="s">
        <v>235</v>
      </c>
      <c r="B13" s="11"/>
      <c r="C13" s="182"/>
      <c r="D13" s="182"/>
      <c r="E13" s="82" t="s">
        <v>11</v>
      </c>
      <c r="G13" s="3"/>
      <c r="H13" s="15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</row>
    <row r="14" spans="1:47" ht="16.7" customHeight="1" x14ac:dyDescent="0.25">
      <c r="A14" t="s">
        <v>221</v>
      </c>
      <c r="B14" s="11"/>
      <c r="C14" s="182"/>
      <c r="D14" s="182"/>
      <c r="E14" s="82"/>
      <c r="G14" s="3"/>
      <c r="H14" s="18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</row>
    <row r="15" spans="1:47" s="6" customFormat="1" ht="16.899999999999999" customHeight="1" x14ac:dyDescent="0.25">
      <c r="C15" s="7"/>
      <c r="D15" s="7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</row>
    <row r="16" spans="1:47" s="6" customFormat="1" ht="16.899999999999999" customHeight="1" x14ac:dyDescent="0.25">
      <c r="C16" s="7"/>
      <c r="D16" s="7"/>
      <c r="E16" s="3"/>
      <c r="F16" s="3"/>
      <c r="G16" s="3"/>
      <c r="H16" s="3"/>
    </row>
    <row r="17" spans="3:6" s="6" customFormat="1" ht="16.899999999999999" customHeight="1" x14ac:dyDescent="0.25">
      <c r="C17" s="7"/>
      <c r="D17" s="7"/>
      <c r="E17" s="3"/>
      <c r="F17" s="3"/>
    </row>
    <row r="18" spans="3:6" s="6" customFormat="1" ht="16.899999999999999" customHeight="1" x14ac:dyDescent="0.25">
      <c r="C18" s="7"/>
      <c r="D18" s="7"/>
      <c r="E18" s="3"/>
      <c r="F18" s="3"/>
    </row>
    <row r="19" spans="3:6" s="6" customFormat="1" ht="16.899999999999999" customHeight="1" x14ac:dyDescent="0.25">
      <c r="C19" s="7"/>
      <c r="D19" s="7"/>
      <c r="E19" s="3"/>
      <c r="F19" s="3"/>
    </row>
    <row r="20" spans="3:6" s="6" customFormat="1" ht="16.899999999999999" customHeight="1" x14ac:dyDescent="0.25">
      <c r="C20" s="7"/>
      <c r="D20" s="7"/>
      <c r="E20" s="3"/>
      <c r="F20" s="3"/>
    </row>
    <row r="21" spans="3:6" s="6" customFormat="1" ht="16.899999999999999" customHeight="1" x14ac:dyDescent="0.25">
      <c r="C21" s="7"/>
      <c r="D21" s="7"/>
      <c r="E21" s="3"/>
      <c r="F21" s="3"/>
    </row>
    <row r="22" spans="3:6" s="6" customFormat="1" ht="16.899999999999999" customHeight="1" x14ac:dyDescent="0.25">
      <c r="C22" s="7"/>
      <c r="D22" s="7"/>
      <c r="E22" s="3"/>
      <c r="F22" s="3"/>
    </row>
    <row r="23" spans="3:6" s="6" customFormat="1" ht="16.899999999999999" customHeight="1" x14ac:dyDescent="0.25">
      <c r="C23" s="7"/>
      <c r="D23" s="7"/>
      <c r="E23" s="3"/>
      <c r="F23" s="3"/>
    </row>
    <row r="24" spans="3:6" s="6" customFormat="1" ht="16.899999999999999" customHeight="1" x14ac:dyDescent="0.25">
      <c r="C24" s="7"/>
      <c r="D24" s="7"/>
      <c r="E24" s="3"/>
      <c r="F24" s="3"/>
    </row>
    <row r="25" spans="3:6" s="6" customFormat="1" ht="16.899999999999999" customHeight="1" x14ac:dyDescent="0.25">
      <c r="C25" s="7"/>
      <c r="D25" s="7"/>
      <c r="E25" s="3"/>
      <c r="F25" s="3"/>
    </row>
    <row r="26" spans="3:6" s="6" customFormat="1" ht="16.899999999999999" customHeight="1" x14ac:dyDescent="0.25">
      <c r="C26" s="7"/>
      <c r="D26" s="7"/>
      <c r="E26" s="3"/>
      <c r="F26" s="3"/>
    </row>
    <row r="27" spans="3:6" s="6" customFormat="1" ht="16.899999999999999" customHeight="1" x14ac:dyDescent="0.25">
      <c r="C27" s="7"/>
      <c r="D27" s="7"/>
      <c r="E27" s="3"/>
      <c r="F27" s="3"/>
    </row>
    <row r="28" spans="3:6" s="6" customFormat="1" ht="16.899999999999999" customHeight="1" x14ac:dyDescent="0.25">
      <c r="C28" s="7"/>
      <c r="D28" s="7"/>
      <c r="E28" s="3"/>
      <c r="F28" s="3"/>
    </row>
    <row r="29" spans="3:6" s="6" customFormat="1" ht="16.899999999999999" customHeight="1" x14ac:dyDescent="0.25">
      <c r="C29" s="7"/>
      <c r="D29" s="7"/>
      <c r="E29" s="3"/>
      <c r="F29" s="3"/>
    </row>
    <row r="30" spans="3:6" s="6" customFormat="1" ht="16.899999999999999" customHeight="1" x14ac:dyDescent="0.25">
      <c r="C30" s="7"/>
      <c r="D30" s="7"/>
      <c r="E30" s="3"/>
      <c r="F30" s="3"/>
    </row>
    <row r="31" spans="3:6" s="6" customFormat="1" ht="16.899999999999999" customHeight="1" x14ac:dyDescent="0.25">
      <c r="C31" s="7"/>
      <c r="D31" s="7"/>
      <c r="E31" s="3"/>
      <c r="F31" s="3"/>
    </row>
    <row r="32" spans="3:6" s="6" customFormat="1" ht="16.899999999999999" customHeight="1" x14ac:dyDescent="0.25">
      <c r="C32" s="7"/>
      <c r="D32" s="7"/>
      <c r="E32" s="3"/>
      <c r="F32" s="3"/>
    </row>
    <row r="33" spans="3:6" s="6" customFormat="1" ht="16.899999999999999" customHeight="1" x14ac:dyDescent="0.25">
      <c r="C33" s="7"/>
      <c r="D33" s="7"/>
      <c r="E33" s="3"/>
      <c r="F33" s="3"/>
    </row>
    <row r="34" spans="3:6" s="6" customFormat="1" ht="16.899999999999999" customHeight="1" x14ac:dyDescent="0.25">
      <c r="C34" s="7"/>
      <c r="D34" s="7"/>
      <c r="E34" s="3"/>
      <c r="F34" s="3"/>
    </row>
    <row r="35" spans="3:6" s="6" customFormat="1" ht="16.899999999999999" customHeight="1" x14ac:dyDescent="0.25">
      <c r="C35" s="7"/>
      <c r="D35" s="7"/>
      <c r="E35" s="3"/>
      <c r="F35" s="3"/>
    </row>
    <row r="36" spans="3:6" s="6" customFormat="1" ht="16.899999999999999" customHeight="1" x14ac:dyDescent="0.25">
      <c r="C36" s="7"/>
      <c r="D36" s="7"/>
      <c r="E36" s="3"/>
      <c r="F36" s="3"/>
    </row>
    <row r="37" spans="3:6" s="6" customFormat="1" ht="16.899999999999999" customHeight="1" x14ac:dyDescent="0.25">
      <c r="C37" s="7"/>
      <c r="D37" s="7"/>
      <c r="E37" s="3"/>
      <c r="F37" s="3"/>
    </row>
    <row r="38" spans="3:6" s="6" customFormat="1" ht="16.899999999999999" customHeight="1" x14ac:dyDescent="0.25">
      <c r="C38" s="7"/>
      <c r="D38" s="7"/>
      <c r="E38" s="3"/>
      <c r="F38" s="3"/>
    </row>
    <row r="39" spans="3:6" s="6" customFormat="1" ht="16.899999999999999" customHeight="1" x14ac:dyDescent="0.25">
      <c r="C39" s="7"/>
      <c r="D39" s="7"/>
      <c r="E39" s="3"/>
      <c r="F39" s="3"/>
    </row>
    <row r="40" spans="3:6" s="6" customFormat="1" ht="16.899999999999999" customHeight="1" x14ac:dyDescent="0.25">
      <c r="C40" s="7"/>
      <c r="D40" s="7"/>
      <c r="E40" s="3"/>
      <c r="F40" s="3"/>
    </row>
    <row r="41" spans="3:6" s="6" customFormat="1" ht="16.899999999999999" customHeight="1" x14ac:dyDescent="0.25">
      <c r="C41" s="7"/>
      <c r="D41" s="7"/>
      <c r="E41" s="3"/>
      <c r="F41" s="3"/>
    </row>
    <row r="42" spans="3:6" s="6" customFormat="1" ht="16.899999999999999" customHeight="1" x14ac:dyDescent="0.25">
      <c r="C42" s="7"/>
      <c r="D42" s="7"/>
      <c r="E42" s="3"/>
      <c r="F42" s="3"/>
    </row>
    <row r="43" spans="3:6" s="6" customFormat="1" ht="16.899999999999999" customHeight="1" x14ac:dyDescent="0.25">
      <c r="C43" s="7"/>
      <c r="D43" s="7"/>
      <c r="E43" s="3"/>
      <c r="F43" s="3"/>
    </row>
    <row r="44" spans="3:6" s="6" customFormat="1" ht="16.899999999999999" customHeight="1" x14ac:dyDescent="0.25">
      <c r="C44" s="7"/>
      <c r="D44" s="7"/>
      <c r="E44" s="3"/>
      <c r="F44" s="3"/>
    </row>
    <row r="45" spans="3:6" s="6" customFormat="1" ht="16.899999999999999" customHeight="1" x14ac:dyDescent="0.25">
      <c r="C45" s="7"/>
      <c r="D45" s="7"/>
      <c r="E45" s="3"/>
      <c r="F45" s="3"/>
    </row>
    <row r="46" spans="3:6" s="6" customFormat="1" ht="16.899999999999999" customHeight="1" x14ac:dyDescent="0.25">
      <c r="C46" s="7"/>
      <c r="D46" s="7"/>
      <c r="E46" s="3"/>
      <c r="F46" s="3"/>
    </row>
    <row r="47" spans="3:6" s="6" customFormat="1" ht="16.899999999999999" customHeight="1" x14ac:dyDescent="0.25">
      <c r="C47" s="7"/>
      <c r="D47" s="7"/>
      <c r="E47" s="3"/>
      <c r="F47" s="3"/>
    </row>
    <row r="48" spans="3:6" s="6" customFormat="1" ht="16.899999999999999" customHeight="1" x14ac:dyDescent="0.25">
      <c r="C48" s="7"/>
      <c r="D48" s="7"/>
      <c r="E48" s="3"/>
      <c r="F48" s="3"/>
    </row>
    <row r="49" spans="3:6" s="6" customFormat="1" ht="16.899999999999999" customHeight="1" x14ac:dyDescent="0.25">
      <c r="C49" s="7"/>
      <c r="D49" s="7"/>
      <c r="E49" s="3"/>
      <c r="F49" s="3"/>
    </row>
    <row r="50" spans="3:6" s="6" customFormat="1" ht="16.899999999999999" customHeight="1" x14ac:dyDescent="0.25">
      <c r="C50" s="7"/>
      <c r="D50" s="7"/>
      <c r="E50" s="3"/>
      <c r="F50" s="3"/>
    </row>
    <row r="51" spans="3:6" s="6" customFormat="1" ht="16.899999999999999" customHeight="1" x14ac:dyDescent="0.25">
      <c r="C51" s="7"/>
      <c r="D51" s="7"/>
      <c r="E51" s="3"/>
      <c r="F51" s="3"/>
    </row>
    <row r="52" spans="3:6" s="6" customFormat="1" ht="16.899999999999999" customHeight="1" x14ac:dyDescent="0.25">
      <c r="C52" s="7"/>
      <c r="D52" s="7"/>
      <c r="E52" s="3"/>
      <c r="F52" s="3"/>
    </row>
    <row r="53" spans="3:6" s="6" customFormat="1" ht="16.899999999999999" customHeight="1" x14ac:dyDescent="0.25">
      <c r="C53" s="7"/>
      <c r="D53" s="7"/>
      <c r="E53" s="3"/>
      <c r="F53" s="3"/>
    </row>
    <row r="54" spans="3:6" s="6" customFormat="1" ht="16.899999999999999" customHeight="1" x14ac:dyDescent="0.25">
      <c r="C54" s="7"/>
      <c r="D54" s="7"/>
      <c r="E54" s="3"/>
      <c r="F54" s="3"/>
    </row>
    <row r="55" spans="3:6" s="6" customFormat="1" ht="16.899999999999999" customHeight="1" x14ac:dyDescent="0.25">
      <c r="C55" s="7"/>
      <c r="D55" s="7"/>
      <c r="E55" s="3"/>
      <c r="F55" s="3"/>
    </row>
    <row r="56" spans="3:6" s="6" customFormat="1" ht="16.899999999999999" customHeight="1" x14ac:dyDescent="0.25">
      <c r="C56" s="7"/>
      <c r="D56" s="7"/>
      <c r="E56" s="3"/>
      <c r="F56" s="3"/>
    </row>
    <row r="57" spans="3:6" s="6" customFormat="1" ht="16.899999999999999" customHeight="1" x14ac:dyDescent="0.25">
      <c r="C57" s="7"/>
      <c r="D57" s="7"/>
      <c r="E57" s="3"/>
      <c r="F57" s="3"/>
    </row>
    <row r="58" spans="3:6" s="6" customFormat="1" ht="16.899999999999999" customHeight="1" x14ac:dyDescent="0.25">
      <c r="C58" s="7"/>
      <c r="D58" s="7"/>
      <c r="E58" s="3"/>
      <c r="F58" s="3"/>
    </row>
    <row r="59" spans="3:6" s="6" customFormat="1" ht="16.899999999999999" customHeight="1" x14ac:dyDescent="0.25">
      <c r="C59" s="7"/>
      <c r="D59" s="7"/>
      <c r="E59" s="3"/>
      <c r="F59" s="3"/>
    </row>
    <row r="60" spans="3:6" s="6" customFormat="1" ht="16.899999999999999" customHeight="1" x14ac:dyDescent="0.25">
      <c r="C60" s="7"/>
      <c r="D60" s="7"/>
      <c r="E60" s="3"/>
      <c r="F60" s="3"/>
    </row>
    <row r="61" spans="3:6" s="6" customFormat="1" ht="16.899999999999999" customHeight="1" x14ac:dyDescent="0.25">
      <c r="C61" s="7"/>
      <c r="D61" s="7"/>
      <c r="E61" s="3"/>
      <c r="F61" s="3"/>
    </row>
    <row r="62" spans="3:6" s="6" customFormat="1" ht="16.899999999999999" customHeight="1" x14ac:dyDescent="0.25">
      <c r="C62" s="7"/>
      <c r="D62" s="7"/>
      <c r="E62" s="3"/>
      <c r="F62" s="3"/>
    </row>
    <row r="63" spans="3:6" s="6" customFormat="1" ht="16.899999999999999" customHeight="1" x14ac:dyDescent="0.25">
      <c r="C63" s="7"/>
      <c r="D63" s="7"/>
      <c r="E63" s="3"/>
      <c r="F63" s="3"/>
    </row>
    <row r="64" spans="3:6" s="6" customFormat="1" ht="16.899999999999999" customHeight="1" x14ac:dyDescent="0.25">
      <c r="C64" s="7"/>
      <c r="D64" s="7"/>
      <c r="E64" s="3"/>
      <c r="F64" s="3"/>
    </row>
    <row r="65" spans="3:6" s="6" customFormat="1" ht="16.899999999999999" customHeight="1" x14ac:dyDescent="0.25">
      <c r="C65" s="7"/>
      <c r="D65" s="7"/>
      <c r="E65" s="3"/>
      <c r="F65" s="3"/>
    </row>
    <row r="66" spans="3:6" s="6" customFormat="1" ht="16.899999999999999" customHeight="1" x14ac:dyDescent="0.25">
      <c r="C66" s="7"/>
      <c r="D66" s="7"/>
      <c r="E66" s="3"/>
      <c r="F66" s="3"/>
    </row>
  </sheetData>
  <mergeCells count="1">
    <mergeCell ref="A2:E2"/>
  </mergeCells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O8"/>
  <sheetViews>
    <sheetView zoomScaleNormal="100" workbookViewId="0">
      <selection activeCell="E10" sqref="E10"/>
    </sheetView>
  </sheetViews>
  <sheetFormatPr defaultRowHeight="15" x14ac:dyDescent="0.25"/>
  <cols>
    <col min="1" max="4" width="8.7109375" customWidth="1"/>
    <col min="5" max="5" width="9.140625" customWidth="1"/>
    <col min="6" max="1025" width="8.7109375" customWidth="1"/>
  </cols>
  <sheetData>
    <row r="1" spans="1:15" x14ac:dyDescent="0.25">
      <c r="A1" t="s">
        <v>96</v>
      </c>
      <c r="B1" t="s">
        <v>97</v>
      </c>
      <c r="C1" t="s">
        <v>98</v>
      </c>
      <c r="D1" t="s">
        <v>99</v>
      </c>
      <c r="F1" t="s">
        <v>100</v>
      </c>
    </row>
    <row r="2" spans="1:15" x14ac:dyDescent="0.25">
      <c r="A2">
        <v>15</v>
      </c>
      <c r="B2">
        <f>A2/E2</f>
        <v>4.893485140116792</v>
      </c>
      <c r="C2">
        <f>A2/G2</f>
        <v>1.639456247011408</v>
      </c>
      <c r="E2">
        <f t="shared" ref="E2:E7" si="0">(0.0451*A2)+2.3888</f>
        <v>3.0652999999999997</v>
      </c>
      <c r="G2">
        <f>0.000003*(A2^4)-0.0006*(A2^3)+0.0408*(A2^2)-1.2655*(A2)+20.825</f>
        <v>9.1493749999999991</v>
      </c>
    </row>
    <row r="3" spans="1:15" x14ac:dyDescent="0.25">
      <c r="A3">
        <v>20</v>
      </c>
      <c r="B3">
        <f>6+1.75/12</f>
        <v>6.145833333333333</v>
      </c>
      <c r="C3">
        <f>2+7.25/12</f>
        <v>2.6041666666666665</v>
      </c>
      <c r="D3">
        <f>A3/B3</f>
        <v>3.2542372881355934</v>
      </c>
      <c r="E3">
        <f t="shared" si="0"/>
        <v>3.2907999999999999</v>
      </c>
      <c r="F3">
        <f>A3/C3</f>
        <v>7.6800000000000006</v>
      </c>
      <c r="G3">
        <f>0.000003*(A3^4)-0.0006*(A3^3)+0.0408*(A3^2)-1.2655*(A3)+20.825</f>
        <v>7.514999999999997</v>
      </c>
    </row>
    <row r="4" spans="1:15" x14ac:dyDescent="0.25">
      <c r="A4">
        <v>30</v>
      </c>
      <c r="B4">
        <f>7+11.75/12</f>
        <v>7.979166666666667</v>
      </c>
      <c r="C4">
        <f>4+8.25/12</f>
        <v>4.6875</v>
      </c>
      <c r="D4">
        <f>A4/B4</f>
        <v>3.7597911227154044</v>
      </c>
      <c r="E4">
        <f t="shared" si="0"/>
        <v>3.7417999999999996</v>
      </c>
      <c r="F4">
        <f>A4/C4</f>
        <v>6.4</v>
      </c>
      <c r="G4">
        <f>0.000003*(A4^4)-0.0006*(A4^3)+0.0408*(A4^2)-1.2655*(A4)+20.825</f>
        <v>5.8100000000000023</v>
      </c>
      <c r="L4">
        <f>-0.00009</f>
        <v>-9.0000000000000006E-5</v>
      </c>
      <c r="M4">
        <f>L4*A7^4</f>
        <v>-1166.4000000000001</v>
      </c>
      <c r="O4">
        <f>M4-M5+M6-M7+M8</f>
        <v>-1204.2249999999999</v>
      </c>
    </row>
    <row r="5" spans="1:15" x14ac:dyDescent="0.25">
      <c r="A5">
        <v>40</v>
      </c>
      <c r="B5">
        <f>9+5.25/12</f>
        <v>9.4375</v>
      </c>
      <c r="C5">
        <f>6+5/12</f>
        <v>6.416666666666667</v>
      </c>
      <c r="D5">
        <f>A5/B5</f>
        <v>4.2384105960264904</v>
      </c>
      <c r="E5">
        <f t="shared" si="0"/>
        <v>4.1928000000000001</v>
      </c>
      <c r="F5">
        <f>A5/C5</f>
        <v>6.2337662337662332</v>
      </c>
      <c r="G5">
        <f>0.000003*(A5^4)-0.0006*(A5^3)+0.0408*(A5^2)-1.2655*(A5)+20.825</f>
        <v>4.764999999999997</v>
      </c>
      <c r="M5">
        <f>0.0006*(A7^3)</f>
        <v>129.6</v>
      </c>
    </row>
    <row r="6" spans="1:15" x14ac:dyDescent="0.25">
      <c r="A6">
        <v>50</v>
      </c>
      <c r="B6">
        <f>10+8.75/12</f>
        <v>10.729166666666666</v>
      </c>
      <c r="C6">
        <f>7+11.25/12</f>
        <v>7.9375</v>
      </c>
      <c r="D6">
        <f>A6/B6</f>
        <v>4.6601941747572821</v>
      </c>
      <c r="E6">
        <f t="shared" si="0"/>
        <v>4.6437999999999997</v>
      </c>
      <c r="F6">
        <f>A6/C6</f>
        <v>6.2992125984251972</v>
      </c>
      <c r="G6">
        <f>0.000003*(A6^4)-0.0006*(A6^3)+0.0408*(A6^2)-1.2655*(A6)+20.825</f>
        <v>3.3000000000000078</v>
      </c>
      <c r="M6">
        <f>0.0408*(A7^2)</f>
        <v>146.88000000000002</v>
      </c>
    </row>
    <row r="7" spans="1:15" x14ac:dyDescent="0.25">
      <c r="A7">
        <v>60</v>
      </c>
      <c r="B7">
        <f>11+10.25/12</f>
        <v>11.854166666666666</v>
      </c>
      <c r="C7">
        <f>9+3.5/12</f>
        <v>9.2916666666666661</v>
      </c>
      <c r="D7">
        <f>A7/B7</f>
        <v>5.0615114235500878</v>
      </c>
      <c r="E7">
        <f t="shared" si="0"/>
        <v>5.0947999999999993</v>
      </c>
      <c r="F7">
        <f>A7/C7</f>
        <v>6.4573991031390134</v>
      </c>
      <c r="G7">
        <f>(0.000003*(A7^4))-(0.0006*(A7^3))+(0.0408*(A7^2))-(1.2655*(A7))+20.825</f>
        <v>1.0550000000000175</v>
      </c>
      <c r="M7">
        <f>1.2655*A7</f>
        <v>75.930000000000007</v>
      </c>
    </row>
    <row r="8" spans="1:15" x14ac:dyDescent="0.25">
      <c r="M8">
        <v>20.824999999999999</v>
      </c>
    </row>
  </sheetData>
  <pageMargins left="0.7" right="0.7" top="0.75" bottom="0.75" header="0.51180555555555496" footer="0.51180555555555496"/>
  <pageSetup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2</vt:i4>
      </vt:variant>
    </vt:vector>
  </HeadingPairs>
  <TitlesOfParts>
    <vt:vector size="36" baseType="lpstr">
      <vt:lpstr>PSE Estimate</vt:lpstr>
      <vt:lpstr>Category NOTE</vt:lpstr>
      <vt:lpstr>204.0110</vt:lpstr>
      <vt:lpstr>204.0115</vt:lpstr>
      <vt:lpstr>204.0120</vt:lpstr>
      <vt:lpstr>204.9060.S</vt:lpstr>
      <vt:lpstr>211.0100</vt:lpstr>
      <vt:lpstr>213.0100</vt:lpstr>
      <vt:lpstr>BASE AGG</vt:lpstr>
      <vt:lpstr>305.0500(NO LONGER NEEDED)</vt:lpstr>
      <vt:lpstr>ASPHALT ITEMS</vt:lpstr>
      <vt:lpstr>440.4410(NO LONGER NEEDED)</vt:lpstr>
      <vt:lpstr>465.0120(NO LONGER NEEDED)</vt:lpstr>
      <vt:lpstr>RUMBLE STRIPS</vt:lpstr>
      <vt:lpstr>Culvert Pipe</vt:lpstr>
      <vt:lpstr>GUARDRAIL</vt:lpstr>
      <vt:lpstr>618.0100</vt:lpstr>
      <vt:lpstr>619.1000</vt:lpstr>
      <vt:lpstr>624.0100</vt:lpstr>
      <vt:lpstr>RESTORATION</vt:lpstr>
      <vt:lpstr>EROSION CONTROL</vt:lpstr>
      <vt:lpstr>628.1910</vt:lpstr>
      <vt:lpstr>633.5200</vt:lpstr>
      <vt:lpstr>Signing </vt:lpstr>
      <vt:lpstr>642.5001</vt:lpstr>
      <vt:lpstr>643_TC</vt:lpstr>
      <vt:lpstr>643.0310.S</vt:lpstr>
      <vt:lpstr>643.5000</vt:lpstr>
      <vt:lpstr>646.0106_PM</vt:lpstr>
      <vt:lpstr>648.0100</vt:lpstr>
      <vt:lpstr>STAKING</vt:lpstr>
      <vt:lpstr>690.0150</vt:lpstr>
      <vt:lpstr>SPV.0060.01</vt:lpstr>
      <vt:lpstr>Sheet1</vt:lpstr>
      <vt:lpstr>'PSE Estimate'!Print_Area</vt:lpstr>
      <vt:lpstr>'PSE Estimate'!Print_Titles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Kollin Reinhardt</dc:creator>
  <dc:description/>
  <cp:lastModifiedBy>Tammy Tucker</cp:lastModifiedBy>
  <cp:revision>2</cp:revision>
  <cp:lastPrinted>2019-04-28T20:15:52Z</cp:lastPrinted>
  <dcterms:created xsi:type="dcterms:W3CDTF">2015-10-26T13:54:56Z</dcterms:created>
  <dcterms:modified xsi:type="dcterms:W3CDTF">2019-05-29T20:28:02Z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