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e31fp1\n3public\pds\c3d\41401900\Design\Drainage\Proposed Strom Sewer\Proposed Drainage Analysis\SSA\Sent to SEH\"/>
    </mc:Choice>
  </mc:AlternateContent>
  <bookViews>
    <workbookView xWindow="480" yWindow="120" windowWidth="17175" windowHeight="11505" tabRatio="907"/>
  </bookViews>
  <sheets>
    <sheet name="Design Notes" sheetId="92" r:id="rId1"/>
    <sheet name="Inlet # E 100A (55)" sheetId="82" r:id="rId2"/>
    <sheet name="Inlet # E 100B (49)" sheetId="76" r:id="rId3"/>
    <sheet name="Inlet # E 200A (48)" sheetId="75" r:id="rId4"/>
    <sheet name="Inlet # E 200B (50)" sheetId="77" r:id="rId5"/>
    <sheet name="Inlet # E 200C (47)" sheetId="74" r:id="rId6"/>
    <sheet name="Inlet # E 200D (51)" sheetId="78" r:id="rId7"/>
    <sheet name="Inlet # P 300A (54)" sheetId="81" r:id="rId8"/>
    <sheet name="Inlet # E 300B (52)" sheetId="79" r:id="rId9"/>
    <sheet name="Inlet # E 500A (46)" sheetId="73" r:id="rId10"/>
    <sheet name="Inlet # E 600A (53)" sheetId="80" r:id="rId11"/>
    <sheet name="DPK CHECK (2)" sheetId="93" r:id="rId12"/>
    <sheet name="Inlet # ___ (56)" sheetId="83" r:id="rId13"/>
    <sheet name="Inlet # ___ (57)" sheetId="84" r:id="rId14"/>
    <sheet name="Inlet # ___ (58)" sheetId="85" r:id="rId15"/>
    <sheet name="Inlet # ___ (59)" sheetId="86" r:id="rId16"/>
    <sheet name="Inlet # ___ (60)" sheetId="87" r:id="rId17"/>
    <sheet name="Inlet # ___ (61)" sheetId="88" r:id="rId18"/>
    <sheet name="Inlet # ___ (62)" sheetId="89" r:id="rId19"/>
    <sheet name="Inlet # ___ (63)" sheetId="90" r:id="rId20"/>
    <sheet name="Inlet # ___ (64)" sheetId="91" r:id="rId21"/>
  </sheets>
  <definedNames>
    <definedName name="_xlnm.Print_Area" localSheetId="11">'DPK CHECK (2)'!$A$1:$K$42</definedName>
    <definedName name="_xlnm.Print_Area" localSheetId="12">'Inlet # ___ (56)'!$A$1:$K$42</definedName>
    <definedName name="_xlnm.Print_Area" localSheetId="13">'Inlet # ___ (57)'!$A$1:$K$42</definedName>
    <definedName name="_xlnm.Print_Area" localSheetId="14">'Inlet # ___ (58)'!$A$1:$K$42</definedName>
    <definedName name="_xlnm.Print_Area" localSheetId="15">'Inlet # ___ (59)'!$A$1:$K$42</definedName>
    <definedName name="_xlnm.Print_Area" localSheetId="16">'Inlet # ___ (60)'!$A$1:$K$42</definedName>
    <definedName name="_xlnm.Print_Area" localSheetId="17">'Inlet # ___ (61)'!$A$1:$K$42</definedName>
    <definedName name="_xlnm.Print_Area" localSheetId="18">'Inlet # ___ (62)'!$A$1:$K$42</definedName>
    <definedName name="_xlnm.Print_Area" localSheetId="19">'Inlet # ___ (63)'!$A$1:$K$42</definedName>
    <definedName name="_xlnm.Print_Area" localSheetId="20">'Inlet # ___ (64)'!$A$1:$K$42</definedName>
    <definedName name="_xlnm.Print_Area" localSheetId="1">'Inlet # E 100A (55)'!$A$1:$K$42</definedName>
    <definedName name="_xlnm.Print_Area" localSheetId="2">'Inlet # E 100B (49)'!$A$1:$K$42</definedName>
    <definedName name="_xlnm.Print_Area" localSheetId="3">'Inlet # E 200A (48)'!$A$1:$K$42</definedName>
    <definedName name="_xlnm.Print_Area" localSheetId="4">'Inlet # E 200B (50)'!$A$1:$K$42</definedName>
    <definedName name="_xlnm.Print_Area" localSheetId="5">'Inlet # E 200C (47)'!$A$1:$K$42</definedName>
    <definedName name="_xlnm.Print_Area" localSheetId="6">'Inlet # E 200D (51)'!$A$1:$K$42</definedName>
    <definedName name="_xlnm.Print_Area" localSheetId="8">'Inlet # E 300B (52)'!$A$1:$K$42</definedName>
    <definedName name="_xlnm.Print_Area" localSheetId="9">'Inlet # E 500A (46)'!$A$1:$K$42</definedName>
    <definedName name="_xlnm.Print_Area" localSheetId="10">'Inlet # E 600A (53)'!$A$1:$K$42</definedName>
    <definedName name="_xlnm.Print_Area" localSheetId="7">'Inlet # P 300A (54)'!$A$1:$K$42</definedName>
  </definedNames>
  <calcPr calcId="171027"/>
</workbook>
</file>

<file path=xl/calcChain.xml><?xml version="1.0" encoding="utf-8"?>
<calcChain xmlns="http://schemas.openxmlformats.org/spreadsheetml/2006/main">
  <c r="I4" i="92" l="1"/>
  <c r="I5" i="92"/>
  <c r="I6" i="92"/>
  <c r="I7" i="92"/>
  <c r="I8" i="92"/>
  <c r="I9" i="92"/>
  <c r="I10" i="92"/>
  <c r="I11" i="92"/>
  <c r="I12" i="92"/>
  <c r="I3" i="92"/>
  <c r="D12" i="92" l="1"/>
  <c r="H12" i="92" s="1"/>
  <c r="D11" i="92"/>
  <c r="D10" i="92"/>
  <c r="H10" i="92" s="1"/>
  <c r="D9" i="92"/>
  <c r="H9" i="92" s="1"/>
  <c r="D8" i="92"/>
  <c r="H8" i="92" s="1"/>
  <c r="D7" i="92"/>
  <c r="H7" i="92" s="1"/>
  <c r="D6" i="92"/>
  <c r="H6" i="92" s="1"/>
  <c r="D5" i="92"/>
  <c r="H5" i="92" s="1"/>
  <c r="D4" i="92"/>
  <c r="H4" i="92" s="1"/>
  <c r="D3" i="92"/>
  <c r="H3" i="92" s="1"/>
  <c r="G18" i="92" l="1"/>
  <c r="C4" i="93" l="1"/>
  <c r="E4" i="93"/>
  <c r="F4" i="93"/>
  <c r="G4" i="93"/>
  <c r="D6" i="93"/>
  <c r="H6" i="93"/>
  <c r="B14" i="93" s="1"/>
  <c r="F8" i="93"/>
  <c r="G8" i="93" s="1"/>
  <c r="H8" i="93" s="1"/>
  <c r="I8" i="93" s="1"/>
  <c r="C14" i="93" s="1"/>
  <c r="G10" i="93"/>
  <c r="H10" i="93" s="1"/>
  <c r="I10" i="93" s="1"/>
  <c r="J10" i="93" s="1"/>
  <c r="D14" i="93" s="1"/>
  <c r="H12" i="93"/>
  <c r="I12" i="93" s="1"/>
  <c r="J12" i="93" s="1"/>
  <c r="K12" i="93" s="1"/>
  <c r="E14" i="93" s="1"/>
  <c r="B16" i="93"/>
  <c r="D16" i="93"/>
  <c r="B18" i="93"/>
  <c r="E18" i="93" s="1"/>
  <c r="D18" i="93"/>
  <c r="F37" i="93"/>
  <c r="F38" i="93"/>
  <c r="F39" i="93"/>
  <c r="F40" i="93"/>
  <c r="C41" i="93"/>
  <c r="F41" i="93" l="1"/>
  <c r="I4" i="93" s="1"/>
  <c r="E16" i="93"/>
  <c r="F14" i="93"/>
  <c r="G14" i="93" s="1"/>
  <c r="B11" i="92" l="1"/>
  <c r="H11" i="92" s="1"/>
  <c r="B13" i="92" l="1"/>
  <c r="C41" i="91" l="1"/>
  <c r="F40" i="91"/>
  <c r="F39" i="91"/>
  <c r="F38" i="91"/>
  <c r="F41" i="91" s="1"/>
  <c r="I4" i="91" s="1"/>
  <c r="F37" i="91"/>
  <c r="C14" i="91"/>
  <c r="H12" i="91"/>
  <c r="I12" i="91" s="1"/>
  <c r="J12" i="91" s="1"/>
  <c r="K12" i="91" s="1"/>
  <c r="E14" i="91" s="1"/>
  <c r="G10" i="91"/>
  <c r="H10" i="91" s="1"/>
  <c r="I10" i="91" s="1"/>
  <c r="J10" i="91" s="1"/>
  <c r="D14" i="91" s="1"/>
  <c r="F8" i="91"/>
  <c r="G8" i="91" s="1"/>
  <c r="H8" i="91" s="1"/>
  <c r="I8" i="91" s="1"/>
  <c r="D6" i="91"/>
  <c r="H6" i="91" s="1"/>
  <c r="B14" i="91" s="1"/>
  <c r="F4" i="91"/>
  <c r="G4" i="91" s="1"/>
  <c r="E4" i="91"/>
  <c r="J4" i="91" s="1"/>
  <c r="C4" i="91"/>
  <c r="D16" i="91" s="1"/>
  <c r="C41" i="90"/>
  <c r="F40" i="90"/>
  <c r="F39" i="90"/>
  <c r="F38" i="90"/>
  <c r="F37" i="90"/>
  <c r="D18" i="90"/>
  <c r="D16" i="90"/>
  <c r="H12" i="90"/>
  <c r="I12" i="90" s="1"/>
  <c r="J12" i="90" s="1"/>
  <c r="K12" i="90" s="1"/>
  <c r="E14" i="90" s="1"/>
  <c r="G10" i="90"/>
  <c r="H10" i="90" s="1"/>
  <c r="I10" i="90" s="1"/>
  <c r="J10" i="90" s="1"/>
  <c r="D14" i="90" s="1"/>
  <c r="G8" i="90"/>
  <c r="H8" i="90" s="1"/>
  <c r="I8" i="90" s="1"/>
  <c r="C14" i="90" s="1"/>
  <c r="F8" i="90"/>
  <c r="D6" i="90"/>
  <c r="H6" i="90" s="1"/>
  <c r="B14" i="90" s="1"/>
  <c r="F4" i="90"/>
  <c r="G4" i="90" s="1"/>
  <c r="E4" i="90"/>
  <c r="C4" i="90"/>
  <c r="C41" i="89"/>
  <c r="F40" i="89"/>
  <c r="F39" i="89"/>
  <c r="F38" i="89"/>
  <c r="F37" i="89"/>
  <c r="H12" i="89"/>
  <c r="I12" i="89" s="1"/>
  <c r="J12" i="89" s="1"/>
  <c r="K12" i="89" s="1"/>
  <c r="E14" i="89" s="1"/>
  <c r="G10" i="89"/>
  <c r="H10" i="89" s="1"/>
  <c r="I10" i="89" s="1"/>
  <c r="J10" i="89" s="1"/>
  <c r="D14" i="89" s="1"/>
  <c r="F8" i="89"/>
  <c r="G8" i="89" s="1"/>
  <c r="H8" i="89" s="1"/>
  <c r="I8" i="89" s="1"/>
  <c r="C14" i="89" s="1"/>
  <c r="D6" i="89"/>
  <c r="H6" i="89" s="1"/>
  <c r="B14" i="89" s="1"/>
  <c r="F4" i="89"/>
  <c r="G4" i="89" s="1"/>
  <c r="E4" i="89"/>
  <c r="C4" i="89"/>
  <c r="D18" i="89" s="1"/>
  <c r="C41" i="88"/>
  <c r="F40" i="88"/>
  <c r="F39" i="88"/>
  <c r="F38" i="88"/>
  <c r="F37" i="88"/>
  <c r="F41" i="88" s="1"/>
  <c r="I4" i="88" s="1"/>
  <c r="H12" i="88"/>
  <c r="I12" i="88" s="1"/>
  <c r="J12" i="88" s="1"/>
  <c r="K12" i="88" s="1"/>
  <c r="E14" i="88" s="1"/>
  <c r="G10" i="88"/>
  <c r="H10" i="88" s="1"/>
  <c r="I10" i="88" s="1"/>
  <c r="J10" i="88" s="1"/>
  <c r="D14" i="88" s="1"/>
  <c r="F8" i="88"/>
  <c r="G8" i="88" s="1"/>
  <c r="H8" i="88" s="1"/>
  <c r="I8" i="88" s="1"/>
  <c r="C14" i="88" s="1"/>
  <c r="H6" i="88"/>
  <c r="B14" i="88" s="1"/>
  <c r="D6" i="88"/>
  <c r="F4" i="88"/>
  <c r="G4" i="88" s="1"/>
  <c r="E4" i="88"/>
  <c r="J4" i="88" s="1"/>
  <c r="B16" i="88" s="1"/>
  <c r="C4" i="88"/>
  <c r="C41" i="87"/>
  <c r="F40" i="87"/>
  <c r="F39" i="87"/>
  <c r="F38" i="87"/>
  <c r="F37" i="87"/>
  <c r="H12" i="87"/>
  <c r="I12" i="87" s="1"/>
  <c r="J12" i="87" s="1"/>
  <c r="K12" i="87" s="1"/>
  <c r="E14" i="87" s="1"/>
  <c r="G10" i="87"/>
  <c r="H10" i="87" s="1"/>
  <c r="I10" i="87" s="1"/>
  <c r="J10" i="87" s="1"/>
  <c r="D14" i="87" s="1"/>
  <c r="F8" i="87"/>
  <c r="G8" i="87" s="1"/>
  <c r="H8" i="87" s="1"/>
  <c r="I8" i="87" s="1"/>
  <c r="C14" i="87" s="1"/>
  <c r="D6" i="87"/>
  <c r="H6" i="87" s="1"/>
  <c r="B14" i="87" s="1"/>
  <c r="F4" i="87"/>
  <c r="G4" i="87" s="1"/>
  <c r="E4" i="87"/>
  <c r="C4" i="87"/>
  <c r="C41" i="86"/>
  <c r="F40" i="86"/>
  <c r="F39" i="86"/>
  <c r="F38" i="86"/>
  <c r="F37" i="86"/>
  <c r="H12" i="86"/>
  <c r="I12" i="86" s="1"/>
  <c r="J12" i="86" s="1"/>
  <c r="K12" i="86" s="1"/>
  <c r="E14" i="86" s="1"/>
  <c r="G10" i="86"/>
  <c r="H10" i="86" s="1"/>
  <c r="I10" i="86" s="1"/>
  <c r="J10" i="86" s="1"/>
  <c r="D14" i="86" s="1"/>
  <c r="G8" i="86"/>
  <c r="H8" i="86" s="1"/>
  <c r="I8" i="86" s="1"/>
  <c r="C14" i="86" s="1"/>
  <c r="F8" i="86"/>
  <c r="D6" i="86"/>
  <c r="H6" i="86" s="1"/>
  <c r="B14" i="86" s="1"/>
  <c r="F4" i="86"/>
  <c r="G4" i="86" s="1"/>
  <c r="E4" i="86"/>
  <c r="C4" i="86"/>
  <c r="D18" i="86" s="1"/>
  <c r="C41" i="85"/>
  <c r="F40" i="85"/>
  <c r="F39" i="85"/>
  <c r="F38" i="85"/>
  <c r="F37" i="85"/>
  <c r="H12" i="85"/>
  <c r="I12" i="85" s="1"/>
  <c r="J12" i="85" s="1"/>
  <c r="K12" i="85" s="1"/>
  <c r="E14" i="85" s="1"/>
  <c r="G10" i="85"/>
  <c r="H10" i="85" s="1"/>
  <c r="I10" i="85" s="1"/>
  <c r="J10" i="85" s="1"/>
  <c r="D14" i="85" s="1"/>
  <c r="F8" i="85"/>
  <c r="G8" i="85" s="1"/>
  <c r="H8" i="85" s="1"/>
  <c r="I8" i="85" s="1"/>
  <c r="C14" i="85" s="1"/>
  <c r="H6" i="85"/>
  <c r="B14" i="85" s="1"/>
  <c r="D6" i="85"/>
  <c r="F4" i="85"/>
  <c r="G4" i="85" s="1"/>
  <c r="E4" i="85"/>
  <c r="C4" i="85"/>
  <c r="D16" i="85" s="1"/>
  <c r="C41" i="84"/>
  <c r="F40" i="84"/>
  <c r="F39" i="84"/>
  <c r="F38" i="84"/>
  <c r="F37" i="84"/>
  <c r="H12" i="84"/>
  <c r="I12" i="84" s="1"/>
  <c r="J12" i="84" s="1"/>
  <c r="K12" i="84" s="1"/>
  <c r="E14" i="84" s="1"/>
  <c r="G10" i="84"/>
  <c r="H10" i="84" s="1"/>
  <c r="I10" i="84" s="1"/>
  <c r="J10" i="84" s="1"/>
  <c r="D14" i="84" s="1"/>
  <c r="F8" i="84"/>
  <c r="G8" i="84" s="1"/>
  <c r="H8" i="84" s="1"/>
  <c r="I8" i="84" s="1"/>
  <c r="C14" i="84" s="1"/>
  <c r="H6" i="84"/>
  <c r="B14" i="84" s="1"/>
  <c r="D6" i="84"/>
  <c r="F4" i="84"/>
  <c r="G4" i="84" s="1"/>
  <c r="E4" i="84"/>
  <c r="C4" i="84"/>
  <c r="C41" i="83"/>
  <c r="F40" i="83"/>
  <c r="F39" i="83"/>
  <c r="F38" i="83"/>
  <c r="F37" i="83"/>
  <c r="H12" i="83"/>
  <c r="I12" i="83" s="1"/>
  <c r="J12" i="83" s="1"/>
  <c r="K12" i="83" s="1"/>
  <c r="E14" i="83" s="1"/>
  <c r="G10" i="83"/>
  <c r="H10" i="83" s="1"/>
  <c r="I10" i="83" s="1"/>
  <c r="J10" i="83" s="1"/>
  <c r="D14" i="83" s="1"/>
  <c r="F8" i="83"/>
  <c r="G8" i="83" s="1"/>
  <c r="H8" i="83" s="1"/>
  <c r="I8" i="83" s="1"/>
  <c r="C14" i="83" s="1"/>
  <c r="H6" i="83"/>
  <c r="B14" i="83" s="1"/>
  <c r="D6" i="83"/>
  <c r="F4" i="83"/>
  <c r="G4" i="83" s="1"/>
  <c r="E4" i="83"/>
  <c r="C4" i="83"/>
  <c r="D16" i="83" s="1"/>
  <c r="C41" i="82"/>
  <c r="F40" i="82"/>
  <c r="F39" i="82"/>
  <c r="F38" i="82"/>
  <c r="F41" i="82" s="1"/>
  <c r="I4" i="82" s="1"/>
  <c r="F37" i="82"/>
  <c r="D18" i="82"/>
  <c r="H12" i="82"/>
  <c r="I12" i="82" s="1"/>
  <c r="J12" i="82" s="1"/>
  <c r="K12" i="82" s="1"/>
  <c r="E14" i="82" s="1"/>
  <c r="G10" i="82"/>
  <c r="H10" i="82" s="1"/>
  <c r="I10" i="82" s="1"/>
  <c r="J10" i="82" s="1"/>
  <c r="D14" i="82" s="1"/>
  <c r="F8" i="82"/>
  <c r="G8" i="82" s="1"/>
  <c r="H8" i="82" s="1"/>
  <c r="I8" i="82" s="1"/>
  <c r="C14" i="82" s="1"/>
  <c r="D6" i="82"/>
  <c r="H6" i="82" s="1"/>
  <c r="B14" i="82" s="1"/>
  <c r="F4" i="82"/>
  <c r="G4" i="82" s="1"/>
  <c r="E4" i="82"/>
  <c r="D16" i="82"/>
  <c r="C41" i="81"/>
  <c r="F40" i="81"/>
  <c r="F39" i="81"/>
  <c r="F38" i="81"/>
  <c r="F37" i="81"/>
  <c r="D18" i="81"/>
  <c r="I12" i="81"/>
  <c r="J12" i="81" s="1"/>
  <c r="K12" i="81" s="1"/>
  <c r="E14" i="81" s="1"/>
  <c r="H12" i="81"/>
  <c r="G10" i="81"/>
  <c r="H10" i="81" s="1"/>
  <c r="I10" i="81" s="1"/>
  <c r="J10" i="81" s="1"/>
  <c r="D14" i="81" s="1"/>
  <c r="F8" i="81"/>
  <c r="G8" i="81" s="1"/>
  <c r="H8" i="81" s="1"/>
  <c r="I8" i="81" s="1"/>
  <c r="C14" i="81" s="1"/>
  <c r="D6" i="81"/>
  <c r="H6" i="81" s="1"/>
  <c r="B14" i="81" s="1"/>
  <c r="F4" i="81"/>
  <c r="G4" i="81" s="1"/>
  <c r="E4" i="81"/>
  <c r="D16" i="81"/>
  <c r="C41" i="80"/>
  <c r="F40" i="80"/>
  <c r="F39" i="80"/>
  <c r="F38" i="80"/>
  <c r="F37" i="80"/>
  <c r="H12" i="80"/>
  <c r="I12" i="80" s="1"/>
  <c r="J12" i="80" s="1"/>
  <c r="K12" i="80" s="1"/>
  <c r="E14" i="80" s="1"/>
  <c r="G10" i="80"/>
  <c r="H10" i="80" s="1"/>
  <c r="I10" i="80" s="1"/>
  <c r="J10" i="80" s="1"/>
  <c r="D14" i="80" s="1"/>
  <c r="F8" i="80"/>
  <c r="G8" i="80" s="1"/>
  <c r="H8" i="80" s="1"/>
  <c r="I8" i="80" s="1"/>
  <c r="C14" i="80" s="1"/>
  <c r="D6" i="80"/>
  <c r="H6" i="80" s="1"/>
  <c r="B14" i="80" s="1"/>
  <c r="F4" i="80"/>
  <c r="G4" i="80" s="1"/>
  <c r="E4" i="80"/>
  <c r="D18" i="80"/>
  <c r="C41" i="79"/>
  <c r="F40" i="79"/>
  <c r="F39" i="79"/>
  <c r="F38" i="79"/>
  <c r="F37" i="79"/>
  <c r="H12" i="79"/>
  <c r="I12" i="79" s="1"/>
  <c r="J12" i="79" s="1"/>
  <c r="K12" i="79" s="1"/>
  <c r="E14" i="79" s="1"/>
  <c r="G10" i="79"/>
  <c r="H10" i="79" s="1"/>
  <c r="I10" i="79" s="1"/>
  <c r="J10" i="79" s="1"/>
  <c r="D14" i="79" s="1"/>
  <c r="F8" i="79"/>
  <c r="G8" i="79" s="1"/>
  <c r="H8" i="79" s="1"/>
  <c r="I8" i="79" s="1"/>
  <c r="C14" i="79" s="1"/>
  <c r="D6" i="79"/>
  <c r="H6" i="79" s="1"/>
  <c r="B14" i="79" s="1"/>
  <c r="F4" i="79"/>
  <c r="G4" i="79" s="1"/>
  <c r="E4" i="79"/>
  <c r="D16" i="79"/>
  <c r="C41" i="78"/>
  <c r="F40" i="78"/>
  <c r="F39" i="78"/>
  <c r="F38" i="78"/>
  <c r="F37" i="78"/>
  <c r="H12" i="78"/>
  <c r="I12" i="78" s="1"/>
  <c r="J12" i="78" s="1"/>
  <c r="K12" i="78" s="1"/>
  <c r="E14" i="78" s="1"/>
  <c r="G10" i="78"/>
  <c r="H10" i="78" s="1"/>
  <c r="I10" i="78" s="1"/>
  <c r="J10" i="78" s="1"/>
  <c r="D14" i="78" s="1"/>
  <c r="F8" i="78"/>
  <c r="G8" i="78" s="1"/>
  <c r="H8" i="78" s="1"/>
  <c r="I8" i="78" s="1"/>
  <c r="C14" i="78" s="1"/>
  <c r="D6" i="78"/>
  <c r="H6" i="78" s="1"/>
  <c r="B14" i="78" s="1"/>
  <c r="F4" i="78"/>
  <c r="G4" i="78" s="1"/>
  <c r="E4" i="78"/>
  <c r="D18" i="78"/>
  <c r="C41" i="77"/>
  <c r="F40" i="77"/>
  <c r="F39" i="77"/>
  <c r="F38" i="77"/>
  <c r="F37" i="77"/>
  <c r="F41" i="77" s="1"/>
  <c r="I4" i="77" s="1"/>
  <c r="H12" i="77"/>
  <c r="I12" i="77" s="1"/>
  <c r="J12" i="77" s="1"/>
  <c r="K12" i="77" s="1"/>
  <c r="E14" i="77" s="1"/>
  <c r="G10" i="77"/>
  <c r="H10" i="77" s="1"/>
  <c r="I10" i="77" s="1"/>
  <c r="J10" i="77" s="1"/>
  <c r="D14" i="77" s="1"/>
  <c r="F8" i="77"/>
  <c r="G8" i="77" s="1"/>
  <c r="H8" i="77" s="1"/>
  <c r="I8" i="77" s="1"/>
  <c r="C14" i="77" s="1"/>
  <c r="H6" i="77"/>
  <c r="B14" i="77" s="1"/>
  <c r="D6" i="77"/>
  <c r="F4" i="77"/>
  <c r="G4" i="77" s="1"/>
  <c r="E4" i="77"/>
  <c r="D16" i="77"/>
  <c r="C41" i="76"/>
  <c r="F40" i="76"/>
  <c r="F39" i="76"/>
  <c r="F38" i="76"/>
  <c r="F37" i="76"/>
  <c r="H12" i="76"/>
  <c r="I12" i="76" s="1"/>
  <c r="J12" i="76" s="1"/>
  <c r="K12" i="76" s="1"/>
  <c r="E14" i="76" s="1"/>
  <c r="G10" i="76"/>
  <c r="H10" i="76" s="1"/>
  <c r="I10" i="76" s="1"/>
  <c r="J10" i="76" s="1"/>
  <c r="D14" i="76" s="1"/>
  <c r="F8" i="76"/>
  <c r="G8" i="76" s="1"/>
  <c r="H8" i="76" s="1"/>
  <c r="I8" i="76" s="1"/>
  <c r="C14" i="76" s="1"/>
  <c r="D6" i="76"/>
  <c r="H6" i="76" s="1"/>
  <c r="B14" i="76" s="1"/>
  <c r="F4" i="76"/>
  <c r="G4" i="76" s="1"/>
  <c r="E4" i="76"/>
  <c r="D18" i="76"/>
  <c r="C41" i="75"/>
  <c r="F40" i="75"/>
  <c r="F39" i="75"/>
  <c r="F38" i="75"/>
  <c r="F37" i="75"/>
  <c r="H12" i="75"/>
  <c r="I12" i="75" s="1"/>
  <c r="J12" i="75" s="1"/>
  <c r="K12" i="75" s="1"/>
  <c r="E14" i="75" s="1"/>
  <c r="G10" i="75"/>
  <c r="H10" i="75" s="1"/>
  <c r="I10" i="75" s="1"/>
  <c r="J10" i="75" s="1"/>
  <c r="D14" i="75" s="1"/>
  <c r="F8" i="75"/>
  <c r="G8" i="75" s="1"/>
  <c r="H8" i="75" s="1"/>
  <c r="I8" i="75" s="1"/>
  <c r="C14" i="75" s="1"/>
  <c r="D6" i="75"/>
  <c r="H6" i="75" s="1"/>
  <c r="B14" i="75" s="1"/>
  <c r="F4" i="75"/>
  <c r="G4" i="75" s="1"/>
  <c r="E4" i="75"/>
  <c r="D18" i="75"/>
  <c r="C41" i="74"/>
  <c r="F40" i="74"/>
  <c r="F39" i="74"/>
  <c r="F38" i="74"/>
  <c r="F37" i="74"/>
  <c r="H12" i="74"/>
  <c r="I12" i="74" s="1"/>
  <c r="J12" i="74" s="1"/>
  <c r="K12" i="74" s="1"/>
  <c r="E14" i="74" s="1"/>
  <c r="G10" i="74"/>
  <c r="H10" i="74" s="1"/>
  <c r="I10" i="74" s="1"/>
  <c r="J10" i="74" s="1"/>
  <c r="D14" i="74" s="1"/>
  <c r="F8" i="74"/>
  <c r="G8" i="74" s="1"/>
  <c r="H8" i="74" s="1"/>
  <c r="I8" i="74" s="1"/>
  <c r="C14" i="74" s="1"/>
  <c r="D6" i="74"/>
  <c r="H6" i="74" s="1"/>
  <c r="B14" i="74" s="1"/>
  <c r="F4" i="74"/>
  <c r="G4" i="74" s="1"/>
  <c r="E4" i="74"/>
  <c r="D18" i="74"/>
  <c r="C41" i="73"/>
  <c r="F40" i="73"/>
  <c r="F39" i="73"/>
  <c r="F38" i="73"/>
  <c r="F37" i="73"/>
  <c r="H12" i="73"/>
  <c r="I12" i="73" s="1"/>
  <c r="J12" i="73" s="1"/>
  <c r="K12" i="73" s="1"/>
  <c r="E14" i="73" s="1"/>
  <c r="G10" i="73"/>
  <c r="H10" i="73" s="1"/>
  <c r="I10" i="73" s="1"/>
  <c r="J10" i="73" s="1"/>
  <c r="D14" i="73" s="1"/>
  <c r="F8" i="73"/>
  <c r="G8" i="73" s="1"/>
  <c r="H8" i="73" s="1"/>
  <c r="I8" i="73" s="1"/>
  <c r="C14" i="73" s="1"/>
  <c r="D6" i="73"/>
  <c r="H6" i="73" s="1"/>
  <c r="B14" i="73" s="1"/>
  <c r="F4" i="73"/>
  <c r="G4" i="73" s="1"/>
  <c r="E4" i="73"/>
  <c r="D16" i="73"/>
  <c r="F14" i="88" l="1"/>
  <c r="G14" i="88" s="1"/>
  <c r="F14" i="89"/>
  <c r="G14" i="89" s="1"/>
  <c r="F14" i="84"/>
  <c r="G14" i="84" s="1"/>
  <c r="F14" i="85"/>
  <c r="G14" i="85" s="1"/>
  <c r="F41" i="73"/>
  <c r="I4" i="73" s="1"/>
  <c r="F41" i="78"/>
  <c r="I4" i="78" s="1"/>
  <c r="F41" i="85"/>
  <c r="I4" i="85" s="1"/>
  <c r="F41" i="75"/>
  <c r="I4" i="75" s="1"/>
  <c r="D18" i="85"/>
  <c r="F41" i="74"/>
  <c r="I4" i="74" s="1"/>
  <c r="F41" i="76"/>
  <c r="I4" i="76" s="1"/>
  <c r="F41" i="79"/>
  <c r="I4" i="79" s="1"/>
  <c r="F41" i="80"/>
  <c r="I4" i="80" s="1"/>
  <c r="F41" i="83"/>
  <c r="I4" i="83" s="1"/>
  <c r="J4" i="83" s="1"/>
  <c r="F41" i="84"/>
  <c r="I4" i="84" s="1"/>
  <c r="J4" i="84" s="1"/>
  <c r="F41" i="86"/>
  <c r="I4" i="86" s="1"/>
  <c r="F41" i="87"/>
  <c r="I4" i="87" s="1"/>
  <c r="F14" i="82"/>
  <c r="G14" i="82" s="1"/>
  <c r="F14" i="78"/>
  <c r="G14" i="78" s="1"/>
  <c r="F14" i="77"/>
  <c r="G14" i="77" s="1"/>
  <c r="F14" i="76"/>
  <c r="G14" i="76" s="1"/>
  <c r="F14" i="74"/>
  <c r="G14" i="74" s="1"/>
  <c r="F14" i="73"/>
  <c r="G14" i="73" s="1"/>
  <c r="F14" i="87"/>
  <c r="G14" i="87" s="1"/>
  <c r="D16" i="75"/>
  <c r="D16" i="86"/>
  <c r="D16" i="89"/>
  <c r="B18" i="88"/>
  <c r="D16" i="80"/>
  <c r="J4" i="85"/>
  <c r="B18" i="85" s="1"/>
  <c r="E18" i="85" s="1"/>
  <c r="B18" i="77"/>
  <c r="B16" i="77"/>
  <c r="E16" i="77" s="1"/>
  <c r="D16" i="78"/>
  <c r="B16" i="91"/>
  <c r="E16" i="91" s="1"/>
  <c r="B18" i="91"/>
  <c r="D18" i="73"/>
  <c r="F14" i="75"/>
  <c r="G14" i="75" s="1"/>
  <c r="F14" i="79"/>
  <c r="G14" i="79" s="1"/>
  <c r="F14" i="81"/>
  <c r="G14" i="81" s="1"/>
  <c r="F14" i="83"/>
  <c r="G14" i="83" s="1"/>
  <c r="D18" i="83"/>
  <c r="D16" i="87"/>
  <c r="D18" i="87"/>
  <c r="F14" i="91"/>
  <c r="G14" i="91" s="1"/>
  <c r="F14" i="80"/>
  <c r="G14" i="80" s="1"/>
  <c r="D16" i="76"/>
  <c r="J4" i="86"/>
  <c r="J4" i="87"/>
  <c r="D18" i="91"/>
  <c r="D16" i="74"/>
  <c r="D18" i="77"/>
  <c r="F14" i="86"/>
  <c r="G14" i="86" s="1"/>
  <c r="D18" i="79"/>
  <c r="F41" i="81"/>
  <c r="I4" i="81" s="1"/>
  <c r="F41" i="89"/>
  <c r="I4" i="89" s="1"/>
  <c r="J4" i="89" s="1"/>
  <c r="D16" i="84"/>
  <c r="D18" i="84"/>
  <c r="D16" i="88"/>
  <c r="E16" i="88" s="1"/>
  <c r="D18" i="88"/>
  <c r="E18" i="88" s="1"/>
  <c r="F14" i="90"/>
  <c r="G14" i="90" s="1"/>
  <c r="F41" i="90"/>
  <c r="I4" i="90" s="1"/>
  <c r="J4" i="90" s="1"/>
  <c r="B16" i="84" l="1"/>
  <c r="B18" i="84"/>
  <c r="E18" i="84"/>
  <c r="E16" i="84"/>
  <c r="B16" i="85"/>
  <c r="E16" i="85" s="1"/>
  <c r="B16" i="89"/>
  <c r="E16" i="89" s="1"/>
  <c r="B18" i="89"/>
  <c r="E18" i="89" s="1"/>
  <c r="B18" i="81"/>
  <c r="E18" i="81" s="1"/>
  <c r="B16" i="81"/>
  <c r="E16" i="81" s="1"/>
  <c r="B18" i="90"/>
  <c r="E18" i="90" s="1"/>
  <c r="B16" i="90"/>
  <c r="E16" i="90" s="1"/>
  <c r="B16" i="80"/>
  <c r="E16" i="80" s="1"/>
  <c r="B18" i="80"/>
  <c r="E18" i="80" s="1"/>
  <c r="B16" i="82"/>
  <c r="E16" i="82" s="1"/>
  <c r="B18" i="82"/>
  <c r="E18" i="82" s="1"/>
  <c r="B16" i="78"/>
  <c r="E16" i="78" s="1"/>
  <c r="B18" i="78"/>
  <c r="E18" i="78" s="1"/>
  <c r="B18" i="86"/>
  <c r="E18" i="86" s="1"/>
  <c r="B16" i="86"/>
  <c r="E16" i="86" s="1"/>
  <c r="B18" i="79"/>
  <c r="E18" i="79" s="1"/>
  <c r="B16" i="79"/>
  <c r="E16" i="79" s="1"/>
  <c r="B18" i="75"/>
  <c r="E18" i="75" s="1"/>
  <c r="B16" i="75"/>
  <c r="E16" i="75" s="1"/>
  <c r="B18" i="76"/>
  <c r="E18" i="76" s="1"/>
  <c r="B16" i="76"/>
  <c r="E16" i="76" s="1"/>
  <c r="B18" i="73"/>
  <c r="E18" i="73" s="1"/>
  <c r="B16" i="73"/>
  <c r="E16" i="73" s="1"/>
  <c r="E18" i="91"/>
  <c r="B18" i="83"/>
  <c r="E18" i="83" s="1"/>
  <c r="B16" i="83"/>
  <c r="E16" i="83" s="1"/>
  <c r="B18" i="87"/>
  <c r="E18" i="87" s="1"/>
  <c r="B16" i="87"/>
  <c r="E16" i="87" s="1"/>
  <c r="B16" i="74"/>
  <c r="E16" i="74" s="1"/>
  <c r="B18" i="74"/>
  <c r="E18" i="74" s="1"/>
  <c r="E18" i="77"/>
</calcChain>
</file>

<file path=xl/sharedStrings.xml><?xml version="1.0" encoding="utf-8"?>
<sst xmlns="http://schemas.openxmlformats.org/spreadsheetml/2006/main" count="2231" uniqueCount="124">
  <si>
    <t>Inlet No.</t>
  </si>
  <si>
    <t>Total Area (Acres)</t>
  </si>
  <si>
    <t>Impervious Area (Acres)</t>
  </si>
  <si>
    <t>% Impervious</t>
  </si>
  <si>
    <t>Totals for Area of Interest</t>
  </si>
  <si>
    <t>100.0%</t>
  </si>
  <si>
    <t>Map Unit Symbol</t>
  </si>
  <si>
    <t>Map Unit Name</t>
  </si>
  <si>
    <t>Acres in AOI</t>
  </si>
  <si>
    <t>Percent of AOI</t>
  </si>
  <si>
    <t>C</t>
  </si>
  <si>
    <t>% Non Impervious</t>
  </si>
  <si>
    <r>
      <t>C</t>
    </r>
    <r>
      <rPr>
        <b/>
        <vertAlign val="subscript"/>
        <sz val="10"/>
        <color indexed="8"/>
        <rFont val="Times New Roman"/>
        <family val="1"/>
      </rPr>
      <t>Non-Impervious</t>
    </r>
  </si>
  <si>
    <t>C* Land Area %</t>
  </si>
  <si>
    <t>Sheet Flow</t>
  </si>
  <si>
    <t>Shallow Concentrated Flow</t>
  </si>
  <si>
    <t>n</t>
  </si>
  <si>
    <t>A</t>
  </si>
  <si>
    <t>cfs</t>
  </si>
  <si>
    <t>T 
(Allowable Spread)</t>
  </si>
  <si>
    <t>Gutter Velocity</t>
  </si>
  <si>
    <r>
      <t>V=(K</t>
    </r>
    <r>
      <rPr>
        <vertAlign val="subscript"/>
        <sz val="10"/>
        <color theme="1"/>
        <rFont val="Times New Roman"/>
        <family val="1"/>
      </rPr>
      <t>u</t>
    </r>
    <r>
      <rPr>
        <sz val="10"/>
        <color theme="1"/>
        <rFont val="Times New Roman"/>
        <family val="1"/>
      </rPr>
      <t>/n)*S</t>
    </r>
    <r>
      <rPr>
        <vertAlign val="subscript"/>
        <sz val="10"/>
        <color theme="1"/>
        <rFont val="Times New Roman"/>
        <family val="1"/>
      </rPr>
      <t>x</t>
    </r>
    <r>
      <rPr>
        <vertAlign val="superscript"/>
        <sz val="10"/>
        <color theme="1"/>
        <rFont val="Times New Roman"/>
        <family val="1"/>
      </rPr>
      <t>0.67</t>
    </r>
    <r>
      <rPr>
        <sz val="10"/>
        <color theme="1"/>
        <rFont val="Times New Roman"/>
        <family val="1"/>
      </rPr>
      <t>*S</t>
    </r>
    <r>
      <rPr>
        <vertAlign val="subscript"/>
        <sz val="10"/>
        <color theme="1"/>
        <rFont val="Times New Roman"/>
        <family val="1"/>
      </rPr>
      <t>L</t>
    </r>
    <r>
      <rPr>
        <vertAlign val="superscript"/>
        <sz val="10"/>
        <color theme="1"/>
        <rFont val="Times New Roman"/>
        <family val="1"/>
      </rPr>
      <t>0.5</t>
    </r>
    <r>
      <rPr>
        <sz val="10"/>
        <color theme="1"/>
        <rFont val="Times New Roman"/>
        <family val="1"/>
      </rPr>
      <t>*T</t>
    </r>
    <r>
      <rPr>
        <vertAlign val="superscript"/>
        <sz val="10"/>
        <color theme="1"/>
        <rFont val="Times New Roman"/>
        <family val="1"/>
      </rPr>
      <t>0.67</t>
    </r>
  </si>
  <si>
    <r>
      <t>Q</t>
    </r>
    <r>
      <rPr>
        <vertAlign val="sub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>=C*I</t>
    </r>
    <r>
      <rPr>
        <vertAlign val="sub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>*A</t>
    </r>
  </si>
  <si>
    <r>
      <t>Q</t>
    </r>
    <r>
      <rPr>
        <vertAlign val="subscript"/>
        <sz val="10"/>
        <color theme="1"/>
        <rFont val="Times New Roman"/>
        <family val="1"/>
      </rPr>
      <t>25</t>
    </r>
    <r>
      <rPr>
        <sz val="10"/>
        <color theme="1"/>
        <rFont val="Times New Roman"/>
        <family val="1"/>
      </rPr>
      <t>=C*I</t>
    </r>
    <r>
      <rPr>
        <vertAlign val="subscript"/>
        <sz val="10"/>
        <color theme="1"/>
        <rFont val="Times New Roman"/>
        <family val="1"/>
      </rPr>
      <t>25</t>
    </r>
    <r>
      <rPr>
        <sz val="10"/>
        <color theme="1"/>
        <rFont val="Times New Roman"/>
        <family val="1"/>
      </rPr>
      <t>*A</t>
    </r>
  </si>
  <si>
    <r>
      <t>Q</t>
    </r>
    <r>
      <rPr>
        <b/>
        <vertAlign val="subscript"/>
        <sz val="10"/>
        <color theme="1"/>
        <rFont val="Times New Roman"/>
        <family val="1"/>
      </rPr>
      <t>10</t>
    </r>
  </si>
  <si>
    <r>
      <t>Q</t>
    </r>
    <r>
      <rPr>
        <b/>
        <vertAlign val="subscript"/>
        <sz val="10"/>
        <color theme="1"/>
        <rFont val="Times New Roman"/>
        <family val="1"/>
      </rPr>
      <t>25</t>
    </r>
  </si>
  <si>
    <r>
      <t>I</t>
    </r>
    <r>
      <rPr>
        <b/>
        <vertAlign val="subscript"/>
        <sz val="10"/>
        <color theme="1"/>
        <rFont val="Times New Roman"/>
        <family val="1"/>
      </rPr>
      <t>10</t>
    </r>
  </si>
  <si>
    <r>
      <t>T</t>
    </r>
    <r>
      <rPr>
        <vertAlign val="subscript"/>
        <sz val="10"/>
        <color theme="1"/>
        <rFont val="Times New Roman"/>
        <family val="1"/>
      </rPr>
      <t>SF</t>
    </r>
    <r>
      <rPr>
        <sz val="10"/>
        <color theme="1"/>
        <rFont val="Times New Roman"/>
        <family val="1"/>
      </rPr>
      <t>=(K</t>
    </r>
    <r>
      <rPr>
        <vertAlign val="subscript"/>
        <sz val="10"/>
        <color theme="1"/>
        <rFont val="Times New Roman"/>
        <family val="1"/>
      </rPr>
      <t>u</t>
    </r>
    <r>
      <rPr>
        <sz val="10"/>
        <color theme="1"/>
        <rFont val="Times New Roman"/>
        <family val="1"/>
      </rPr>
      <t>/i</t>
    </r>
    <r>
      <rPr>
        <vertAlign val="superscript"/>
        <sz val="10"/>
        <color theme="1"/>
        <rFont val="Times New Roman"/>
        <family val="1"/>
      </rPr>
      <t>0.4</t>
    </r>
    <r>
      <rPr>
        <sz val="10"/>
        <color theme="1"/>
        <rFont val="Times New Roman"/>
        <family val="1"/>
      </rPr>
      <t>)*(nL/s</t>
    </r>
    <r>
      <rPr>
        <vertAlign val="superscript"/>
        <sz val="10"/>
        <color theme="1"/>
        <rFont val="Times New Roman"/>
        <family val="1"/>
      </rPr>
      <t>1/2</t>
    </r>
    <r>
      <rPr>
        <sz val="10"/>
        <color theme="1"/>
        <rFont val="Times New Roman"/>
        <family val="1"/>
      </rPr>
      <t>)</t>
    </r>
    <r>
      <rPr>
        <vertAlign val="superscript"/>
        <sz val="10"/>
        <color theme="1"/>
        <rFont val="Times New Roman"/>
        <family val="1"/>
      </rPr>
      <t>0.6</t>
    </r>
  </si>
  <si>
    <t>k 
(Intercept Coeffiecient)</t>
  </si>
  <si>
    <r>
      <t>V=K</t>
    </r>
    <r>
      <rPr>
        <vertAlign val="subscript"/>
        <sz val="10"/>
        <color theme="1"/>
        <rFont val="Times New Roman"/>
        <family val="1"/>
      </rPr>
      <t>u*</t>
    </r>
    <r>
      <rPr>
        <sz val="10"/>
        <color theme="1"/>
        <rFont val="Times New Roman"/>
        <family val="1"/>
      </rPr>
      <t>k*S</t>
    </r>
    <r>
      <rPr>
        <vertAlign val="subscript"/>
        <sz val="10"/>
        <color theme="1"/>
        <rFont val="Times New Roman"/>
        <family val="1"/>
      </rPr>
      <t>p</t>
    </r>
    <r>
      <rPr>
        <vertAlign val="superscript"/>
        <sz val="10"/>
        <color theme="1"/>
        <rFont val="Times New Roman"/>
        <family val="1"/>
      </rPr>
      <t>0.5</t>
    </r>
  </si>
  <si>
    <t>V 
(ft/s)</t>
  </si>
  <si>
    <r>
      <t>T</t>
    </r>
    <r>
      <rPr>
        <b/>
        <vertAlign val="subscript"/>
        <sz val="10"/>
        <color theme="1"/>
        <rFont val="Times New Roman"/>
        <family val="1"/>
      </rPr>
      <t xml:space="preserve">SCF 
</t>
    </r>
    <r>
      <rPr>
        <b/>
        <sz val="10"/>
        <color theme="1"/>
        <rFont val="Times New Roman"/>
        <family val="1"/>
      </rPr>
      <t>(Minutes)</t>
    </r>
  </si>
  <si>
    <r>
      <t>C</t>
    </r>
    <r>
      <rPr>
        <b/>
        <vertAlign val="subscript"/>
        <sz val="10"/>
        <color theme="1"/>
        <rFont val="Times New Roman"/>
        <family val="1"/>
      </rPr>
      <t>Impervious</t>
    </r>
  </si>
  <si>
    <r>
      <t>C</t>
    </r>
    <r>
      <rPr>
        <b/>
        <vertAlign val="subscript"/>
        <sz val="10"/>
        <color theme="1"/>
        <rFont val="Times New Roman"/>
        <family val="1"/>
      </rPr>
      <t>Weighted</t>
    </r>
  </si>
  <si>
    <t>n
(Roughness Coefficient)</t>
  </si>
  <si>
    <t>Impervious Area 
(SF)</t>
  </si>
  <si>
    <t>Total Area
(SF)</t>
  </si>
  <si>
    <r>
      <t>T</t>
    </r>
    <r>
      <rPr>
        <vertAlign val="sub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>=T</t>
    </r>
    <r>
      <rPr>
        <vertAlign val="subscript"/>
        <sz val="10"/>
        <color theme="1"/>
        <rFont val="Times New Roman"/>
        <family val="1"/>
      </rPr>
      <t>SF</t>
    </r>
    <r>
      <rPr>
        <sz val="10"/>
        <color theme="1"/>
        <rFont val="Times New Roman"/>
        <family val="1"/>
      </rPr>
      <t>+T</t>
    </r>
    <r>
      <rPr>
        <vertAlign val="subscript"/>
        <sz val="10"/>
        <color theme="1"/>
        <rFont val="Times New Roman"/>
        <family val="1"/>
      </rPr>
      <t>SCF</t>
    </r>
    <r>
      <rPr>
        <sz val="10"/>
        <color theme="1"/>
        <rFont val="Times New Roman"/>
        <family val="1"/>
      </rPr>
      <t>+T</t>
    </r>
    <r>
      <rPr>
        <vertAlign val="subscript"/>
        <sz val="10"/>
        <color theme="1"/>
        <rFont val="Times New Roman"/>
        <family val="1"/>
      </rPr>
      <t>GF</t>
    </r>
  </si>
  <si>
    <t xml:space="preserve">Time of Concentration Total </t>
  </si>
  <si>
    <t>Peak Flow 10 Year</t>
  </si>
  <si>
    <t>Peak Flow 25 Year</t>
  </si>
  <si>
    <r>
      <rPr>
        <b/>
        <sz val="10"/>
        <color theme="1"/>
        <rFont val="Times New Roman"/>
        <family val="1"/>
      </rPr>
      <t>I</t>
    </r>
    <r>
      <rPr>
        <b/>
        <vertAlign val="subscript"/>
        <sz val="10"/>
        <color theme="1"/>
        <rFont val="Times New Roman"/>
        <family val="1"/>
      </rPr>
      <t>25</t>
    </r>
  </si>
  <si>
    <t>Length
(ft)</t>
  </si>
  <si>
    <r>
      <rPr>
        <b/>
        <sz val="10"/>
        <color theme="1"/>
        <rFont val="Calibri"/>
        <family val="2"/>
      </rPr>
      <t>∆</t>
    </r>
    <r>
      <rPr>
        <b/>
        <sz val="10"/>
        <color theme="1"/>
        <rFont val="Times New Roman"/>
        <family val="1"/>
      </rPr>
      <t xml:space="preserve"> Elevation
(ft)</t>
    </r>
  </si>
  <si>
    <t>S
(ft/ft)</t>
  </si>
  <si>
    <r>
      <t>I</t>
    </r>
    <r>
      <rPr>
        <b/>
        <vertAlign val="subscript"/>
        <sz val="10"/>
        <color theme="1"/>
        <rFont val="Times New Roman"/>
        <family val="1"/>
      </rPr>
      <t xml:space="preserve">10
</t>
    </r>
    <r>
      <rPr>
        <b/>
        <sz val="10"/>
        <color theme="1"/>
        <rFont val="Times New Roman"/>
        <family val="1"/>
      </rPr>
      <t>(in/hour)</t>
    </r>
  </si>
  <si>
    <r>
      <t>T</t>
    </r>
    <r>
      <rPr>
        <b/>
        <vertAlign val="subscript"/>
        <sz val="10"/>
        <color theme="1"/>
        <rFont val="Times New Roman"/>
        <family val="1"/>
      </rPr>
      <t xml:space="preserve">SF 
</t>
    </r>
    <r>
      <rPr>
        <b/>
        <sz val="10"/>
        <color theme="1"/>
        <rFont val="Times New Roman"/>
        <family val="1"/>
      </rPr>
      <t>(Minutes)</t>
    </r>
  </si>
  <si>
    <r>
      <t>T</t>
    </r>
    <r>
      <rPr>
        <b/>
        <vertAlign val="subscript"/>
        <sz val="10"/>
        <color theme="1"/>
        <rFont val="Times New Roman"/>
        <family val="1"/>
      </rPr>
      <t>GF</t>
    </r>
    <r>
      <rPr>
        <b/>
        <sz val="10"/>
        <color theme="1"/>
        <rFont val="Times New Roman"/>
        <family val="1"/>
      </rPr>
      <t xml:space="preserve"> 
(Minutes)</t>
    </r>
  </si>
  <si>
    <r>
      <t>S</t>
    </r>
    <r>
      <rPr>
        <b/>
        <vertAlign val="subscript"/>
        <sz val="10"/>
        <color theme="1"/>
        <rFont val="Times New Roman"/>
        <family val="1"/>
      </rPr>
      <t xml:space="preserve">x
</t>
    </r>
    <r>
      <rPr>
        <b/>
        <sz val="10"/>
        <color theme="1"/>
        <rFont val="Times New Roman"/>
        <family val="1"/>
      </rPr>
      <t>(ft/ft)</t>
    </r>
  </si>
  <si>
    <t>Soil Map Summary</t>
  </si>
  <si>
    <r>
      <t>T</t>
    </r>
    <r>
      <rPr>
        <b/>
        <vertAlign val="subscript"/>
        <sz val="10"/>
        <color theme="1"/>
        <rFont val="Times New Roman"/>
        <family val="1"/>
      </rPr>
      <t xml:space="preserve">c
</t>
    </r>
    <r>
      <rPr>
        <b/>
        <sz val="10"/>
        <color theme="1"/>
        <rFont val="Times New Roman"/>
        <family val="1"/>
      </rPr>
      <t>(Minutes)</t>
    </r>
  </si>
  <si>
    <r>
      <t>*I</t>
    </r>
    <r>
      <rPr>
        <vertAlign val="sub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 xml:space="preserve"> and I</t>
    </r>
    <r>
      <rPr>
        <vertAlign val="subscript"/>
        <sz val="10"/>
        <color theme="1"/>
        <rFont val="Times New Roman"/>
        <family val="1"/>
      </rPr>
      <t>25</t>
    </r>
    <r>
      <rPr>
        <sz val="10"/>
        <color theme="1"/>
        <rFont val="Times New Roman"/>
        <family val="1"/>
      </rPr>
      <t xml:space="preserve"> determined from Green Bay IDF curve</t>
    </r>
  </si>
  <si>
    <t>Legend</t>
  </si>
  <si>
    <t>Calculated Cell</t>
  </si>
  <si>
    <t xml:space="preserve">User input </t>
  </si>
  <si>
    <r>
      <t>S</t>
    </r>
    <r>
      <rPr>
        <b/>
        <vertAlign val="subscript"/>
        <sz val="10"/>
        <color theme="0"/>
        <rFont val="Times New Roman"/>
        <family val="1"/>
      </rPr>
      <t xml:space="preserve">p 
</t>
    </r>
    <r>
      <rPr>
        <b/>
        <sz val="10"/>
        <color theme="0"/>
        <rFont val="Times New Roman"/>
        <family val="1"/>
      </rPr>
      <t>(%)</t>
    </r>
  </si>
  <si>
    <r>
      <t>T</t>
    </r>
    <r>
      <rPr>
        <b/>
        <vertAlign val="subscript"/>
        <sz val="10"/>
        <color theme="0"/>
        <rFont val="Times New Roman"/>
        <family val="1"/>
      </rPr>
      <t xml:space="preserve">SCF 
</t>
    </r>
    <r>
      <rPr>
        <b/>
        <sz val="10"/>
        <color theme="0"/>
        <rFont val="Times New Roman"/>
        <family val="1"/>
      </rPr>
      <t>(Seconds)</t>
    </r>
  </si>
  <si>
    <r>
      <t>S</t>
    </r>
    <r>
      <rPr>
        <b/>
        <vertAlign val="subscript"/>
        <sz val="10"/>
        <color theme="0"/>
        <rFont val="Times New Roman"/>
        <family val="1"/>
      </rPr>
      <t xml:space="preserve">L
</t>
    </r>
    <r>
      <rPr>
        <b/>
        <sz val="10"/>
        <color theme="0"/>
        <rFont val="Times New Roman"/>
        <family val="1"/>
      </rPr>
      <t>(ft/ft)</t>
    </r>
  </si>
  <si>
    <r>
      <t>V</t>
    </r>
    <r>
      <rPr>
        <b/>
        <vertAlign val="subscript"/>
        <sz val="10"/>
        <color theme="0"/>
        <rFont val="Times New Roman"/>
        <family val="1"/>
      </rPr>
      <t xml:space="preserve"> 
</t>
    </r>
    <r>
      <rPr>
        <b/>
        <sz val="10"/>
        <color theme="0"/>
        <rFont val="Times New Roman"/>
        <family val="1"/>
      </rPr>
      <t>(ft/sec)</t>
    </r>
  </si>
  <si>
    <r>
      <t>T</t>
    </r>
    <r>
      <rPr>
        <b/>
        <vertAlign val="subscript"/>
        <sz val="10"/>
        <color theme="0"/>
        <rFont val="Times New Roman"/>
        <family val="1"/>
      </rPr>
      <t>GF</t>
    </r>
    <r>
      <rPr>
        <b/>
        <sz val="10"/>
        <color theme="0"/>
        <rFont val="Times New Roman"/>
        <family val="1"/>
      </rPr>
      <t xml:space="preserve"> 
(Seconds)</t>
    </r>
  </si>
  <si>
    <r>
      <t>T</t>
    </r>
    <r>
      <rPr>
        <b/>
        <vertAlign val="subscript"/>
        <sz val="10"/>
        <color theme="0"/>
        <rFont val="Times New Roman"/>
        <family val="1"/>
      </rPr>
      <t xml:space="preserve">SF
</t>
    </r>
    <r>
      <rPr>
        <b/>
        <sz val="10"/>
        <color theme="0"/>
        <rFont val="Times New Roman"/>
        <family val="1"/>
      </rPr>
      <t>(Minutes)</t>
    </r>
  </si>
  <si>
    <r>
      <t>T</t>
    </r>
    <r>
      <rPr>
        <b/>
        <vertAlign val="subscript"/>
        <sz val="10"/>
        <color theme="0"/>
        <rFont val="Times New Roman"/>
        <family val="1"/>
      </rPr>
      <t xml:space="preserve">SCF
</t>
    </r>
    <r>
      <rPr>
        <b/>
        <sz val="10"/>
        <color theme="0"/>
        <rFont val="Times New Roman"/>
        <family val="1"/>
      </rPr>
      <t>(Minutes)</t>
    </r>
  </si>
  <si>
    <r>
      <t>T</t>
    </r>
    <r>
      <rPr>
        <b/>
        <vertAlign val="subscript"/>
        <sz val="10"/>
        <color theme="0"/>
        <rFont val="Times New Roman"/>
        <family val="1"/>
      </rPr>
      <t xml:space="preserve">GF
</t>
    </r>
    <r>
      <rPr>
        <b/>
        <sz val="10"/>
        <color theme="0"/>
        <rFont val="Times New Roman"/>
        <family val="1"/>
      </rPr>
      <t>(Minutes)</t>
    </r>
  </si>
  <si>
    <t>Final Peak Flow</t>
  </si>
  <si>
    <t>http://websoilsurvey.nrcs.usda.gov/app/HomePage.htm</t>
  </si>
  <si>
    <t>Resources</t>
  </si>
  <si>
    <t>Intensity Related, User Input</t>
  </si>
  <si>
    <t>http://wisconsindot.gov/rdwy/fdm/fd-13-10-005att.pdf</t>
  </si>
  <si>
    <t>Web Soil Survey Link -</t>
  </si>
  <si>
    <t xml:space="preserve">Runoff C Value/IDF Curves - </t>
  </si>
  <si>
    <t>http://wisconsindot.gov/rdwy/fdm/fd-13-25-035att.pdf</t>
  </si>
  <si>
    <t>Mannings "n" Values -</t>
  </si>
  <si>
    <r>
      <t>K</t>
    </r>
    <r>
      <rPr>
        <b/>
        <vertAlign val="subscript"/>
        <sz val="10"/>
        <color theme="0"/>
        <rFont val="Times New Roman"/>
        <family val="1"/>
      </rPr>
      <t>u</t>
    </r>
  </si>
  <si>
    <r>
      <t>K</t>
    </r>
    <r>
      <rPr>
        <b/>
        <vertAlign val="subscript"/>
        <sz val="10"/>
        <color theme="0"/>
        <rFont val="Times New Roman"/>
        <family val="1"/>
      </rPr>
      <t xml:space="preserve">u </t>
    </r>
    <r>
      <rPr>
        <b/>
        <sz val="10"/>
        <color theme="0"/>
        <rFont val="Times New Roman"/>
        <family val="1"/>
      </rPr>
      <t>(Constant)</t>
    </r>
  </si>
  <si>
    <t>Rational Method Drainage Calculator</t>
  </si>
  <si>
    <t>Runoff Coefficient Data</t>
  </si>
  <si>
    <t>Area Data, Calculated</t>
  </si>
  <si>
    <t>Time of Concentration Data</t>
  </si>
  <si>
    <t xml:space="preserve">k Intercept Coefficient </t>
  </si>
  <si>
    <t>https://www.fhwa.dot.gov/engineering/hydraulics/pubs/10009/10009.pdf</t>
  </si>
  <si>
    <t>(Page 3-10)</t>
  </si>
  <si>
    <t>(Page 3-4)</t>
  </si>
  <si>
    <r>
      <t>*  Sheet flow T</t>
    </r>
    <r>
      <rPr>
        <vertAlign val="sub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 xml:space="preserve"> calculation is an iterative process.  Type in an "I" value.  Check corresponding</t>
    </r>
  </si>
  <si>
    <r>
      <t>IDF curve to see what "I" should be for the T</t>
    </r>
    <r>
      <rPr>
        <vertAlign val="sub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 xml:space="preserve"> calculated by the spreadsheet.  Repeat estimating</t>
    </r>
  </si>
  <si>
    <t>Open Channel/Pipe Velocity</t>
  </si>
  <si>
    <r>
      <t>V=(K</t>
    </r>
    <r>
      <rPr>
        <vertAlign val="subscript"/>
        <sz val="10"/>
        <color theme="1"/>
        <rFont val="Times New Roman"/>
        <family val="1"/>
      </rPr>
      <t>u</t>
    </r>
    <r>
      <rPr>
        <sz val="10"/>
        <color theme="1"/>
        <rFont val="Times New Roman"/>
        <family val="1"/>
      </rPr>
      <t>/n)*R</t>
    </r>
    <r>
      <rPr>
        <vertAlign val="superscript"/>
        <sz val="10"/>
        <color theme="1"/>
        <rFont val="Times New Roman"/>
        <family val="1"/>
      </rPr>
      <t>2/3</t>
    </r>
    <r>
      <rPr>
        <sz val="10"/>
        <color theme="1"/>
        <rFont val="Times New Roman"/>
        <family val="1"/>
      </rPr>
      <t>*S</t>
    </r>
    <r>
      <rPr>
        <vertAlign val="superscript"/>
        <sz val="10"/>
        <color theme="1"/>
        <rFont val="Times New Roman"/>
        <family val="1"/>
      </rPr>
      <t>1/2</t>
    </r>
  </si>
  <si>
    <r>
      <t>T</t>
    </r>
    <r>
      <rPr>
        <b/>
        <vertAlign val="subscript"/>
        <sz val="10"/>
        <color theme="0"/>
        <rFont val="Times New Roman"/>
        <family val="1"/>
      </rPr>
      <t>OC</t>
    </r>
    <r>
      <rPr>
        <b/>
        <sz val="10"/>
        <color theme="0"/>
        <rFont val="Times New Roman"/>
        <family val="1"/>
      </rPr>
      <t xml:space="preserve">
(Seconds)</t>
    </r>
  </si>
  <si>
    <r>
      <t>T</t>
    </r>
    <r>
      <rPr>
        <b/>
        <vertAlign val="subscript"/>
        <sz val="10"/>
        <color theme="1"/>
        <rFont val="Times New Roman"/>
        <family val="1"/>
      </rPr>
      <t>OC</t>
    </r>
    <r>
      <rPr>
        <b/>
        <sz val="10"/>
        <color theme="1"/>
        <rFont val="Times New Roman"/>
        <family val="1"/>
      </rPr>
      <t xml:space="preserve">
(Minutes)</t>
    </r>
  </si>
  <si>
    <r>
      <t>of "I" values until T</t>
    </r>
    <r>
      <rPr>
        <vertAlign val="sub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 xml:space="preserve"> calculated on spreadsheet matches T</t>
    </r>
    <r>
      <rPr>
        <vertAlign val="sub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 xml:space="preserve"> shown on IDF curve.  Maximum sheet flow length is 400 feet.</t>
    </r>
  </si>
  <si>
    <r>
      <t>T</t>
    </r>
    <r>
      <rPr>
        <b/>
        <vertAlign val="subscript"/>
        <sz val="10"/>
        <color theme="0"/>
        <rFont val="Times New Roman"/>
        <family val="1"/>
      </rPr>
      <t xml:space="preserve">OC
</t>
    </r>
    <r>
      <rPr>
        <b/>
        <sz val="10"/>
        <color theme="0"/>
        <rFont val="Times New Roman"/>
        <family val="1"/>
      </rPr>
      <t>(Minutes)</t>
    </r>
  </si>
  <si>
    <t>R (Hydraulic Radius)
(ft)</t>
  </si>
  <si>
    <r>
      <t>T</t>
    </r>
    <r>
      <rPr>
        <b/>
        <vertAlign val="subscript"/>
        <sz val="10"/>
        <color theme="1"/>
        <rFont val="Times New Roman"/>
        <family val="1"/>
      </rPr>
      <t xml:space="preserve">c10
</t>
    </r>
    <r>
      <rPr>
        <b/>
        <sz val="10"/>
        <color theme="1"/>
        <rFont val="Times New Roman"/>
        <family val="1"/>
      </rPr>
      <t>(Minutes)</t>
    </r>
  </si>
  <si>
    <r>
      <t>T</t>
    </r>
    <r>
      <rPr>
        <b/>
        <vertAlign val="subscript"/>
        <sz val="10"/>
        <color theme="1"/>
        <rFont val="Times New Roman"/>
        <family val="1"/>
      </rPr>
      <t xml:space="preserve">c25
</t>
    </r>
    <r>
      <rPr>
        <b/>
        <sz val="10"/>
        <color theme="1"/>
        <rFont val="Times New Roman"/>
        <family val="1"/>
      </rPr>
      <t>(Minutes)</t>
    </r>
  </si>
  <si>
    <t>Inlet</t>
  </si>
  <si>
    <t>C Value</t>
  </si>
  <si>
    <t>E 500A</t>
  </si>
  <si>
    <t>E 200C</t>
  </si>
  <si>
    <t>E 200A</t>
  </si>
  <si>
    <t>E 100B</t>
  </si>
  <si>
    <t>E 200B</t>
  </si>
  <si>
    <t>E 200D</t>
  </si>
  <si>
    <t>E 300B</t>
  </si>
  <si>
    <t>E 600A</t>
  </si>
  <si>
    <t>E 100A</t>
  </si>
  <si>
    <t>Area (acres)</t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</si>
  <si>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C10 </t>
    </r>
    <r>
      <rPr>
        <sz val="11"/>
        <color theme="1"/>
        <rFont val="Calibri"/>
        <family val="2"/>
        <scheme val="minor"/>
      </rPr>
      <t>(min)</t>
    </r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</si>
  <si>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C25 </t>
    </r>
    <r>
      <rPr>
        <sz val="11"/>
        <color theme="1"/>
        <rFont val="Calibri"/>
        <family val="2"/>
        <scheme val="minor"/>
      </rPr>
      <t>(min)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</si>
  <si>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10 </t>
    </r>
    <r>
      <rPr>
        <sz val="11"/>
        <color theme="1"/>
        <rFont val="Calibri"/>
        <family val="2"/>
        <scheme val="minor"/>
      </rPr>
      <t>(cfs)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</si>
  <si>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25 </t>
    </r>
    <r>
      <rPr>
        <sz val="11"/>
        <color theme="1"/>
        <rFont val="Calibri"/>
        <family val="2"/>
        <scheme val="minor"/>
      </rPr>
      <t>(cfs)</t>
    </r>
  </si>
  <si>
    <t>Total</t>
  </si>
  <si>
    <t>P 300A</t>
  </si>
  <si>
    <t>ALL</t>
  </si>
  <si>
    <r>
      <t>I</t>
    </r>
    <r>
      <rPr>
        <vertAlign val="subscript"/>
        <sz val="11"/>
        <color theme="1"/>
        <rFont val="Calibri"/>
        <family val="2"/>
        <scheme val="minor"/>
      </rPr>
      <t>10</t>
    </r>
  </si>
  <si>
    <t>100A</t>
  </si>
  <si>
    <t>100B</t>
  </si>
  <si>
    <t>200A</t>
  </si>
  <si>
    <t>200B</t>
  </si>
  <si>
    <t>200C</t>
  </si>
  <si>
    <t>200D</t>
  </si>
  <si>
    <t>300A</t>
  </si>
  <si>
    <t>300B</t>
  </si>
  <si>
    <t>500A</t>
  </si>
  <si>
    <t>600A</t>
  </si>
  <si>
    <r>
      <t>I</t>
    </r>
    <r>
      <rPr>
        <vertAlign val="subscript"/>
        <sz val="11"/>
        <color theme="1"/>
        <rFont val="Calibri"/>
        <family val="2"/>
        <scheme val="minor"/>
      </rPr>
      <t xml:space="preserve">25 </t>
    </r>
    <r>
      <rPr>
        <sz val="11"/>
        <color theme="1"/>
        <rFont val="Calibri"/>
        <family val="2"/>
        <scheme val="minor"/>
      </rPr>
      <t>(min)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</si>
</sst>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##0.0;###0.0"/>
    <numFmt numFmtId="166" formatCode="0.0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1"/>
      <charset val="204"/>
    </font>
    <font>
      <b/>
      <sz val="8"/>
      <color indexed="8"/>
      <name val="Arial"/>
      <family val="1"/>
      <charset val="204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vertAlign val="subscript"/>
      <sz val="10"/>
      <color indexed="8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0"/>
      <name val="Times New Roman"/>
      <family val="1"/>
    </font>
    <font>
      <b/>
      <vertAlign val="subscript"/>
      <sz val="10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4" fillId="0" borderId="0" xfId="0" applyFont="1"/>
    <xf numFmtId="0" fontId="6" fillId="2" borderId="1" xfId="0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6" fontId="4" fillId="6" borderId="0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4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9" fillId="4" borderId="0" xfId="0" applyNumberFormat="1" applyFont="1" applyFill="1" applyBorder="1" applyAlignment="1">
      <alignment horizontal="center"/>
    </xf>
    <xf numFmtId="0" fontId="4" fillId="0" borderId="4" xfId="0" applyFont="1" applyBorder="1"/>
    <xf numFmtId="166" fontId="9" fillId="6" borderId="5" xfId="0" applyNumberFormat="1" applyFont="1" applyFill="1" applyBorder="1" applyAlignment="1">
      <alignment horizontal="center"/>
    </xf>
    <xf numFmtId="166" fontId="9" fillId="4" borderId="0" xfId="0" applyNumberFormat="1" applyFont="1" applyFill="1" applyBorder="1" applyAlignment="1">
      <alignment horizontal="left"/>
    </xf>
    <xf numFmtId="166" fontId="9" fillId="4" borderId="4" xfId="0" applyNumberFormat="1" applyFont="1" applyFill="1" applyBorder="1" applyAlignment="1">
      <alignment horizontal="center"/>
    </xf>
    <xf numFmtId="166" fontId="9" fillId="4" borderId="5" xfId="0" applyNumberFormat="1" applyFont="1" applyFill="1" applyBorder="1" applyAlignment="1">
      <alignment horizontal="center"/>
    </xf>
    <xf numFmtId="166" fontId="9" fillId="4" borderId="5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2" fontId="4" fillId="7" borderId="0" xfId="0" applyNumberFormat="1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166" fontId="4" fillId="6" borderId="5" xfId="0" applyNumberFormat="1" applyFont="1" applyFill="1" applyBorder="1" applyAlignment="1">
      <alignment horizontal="center"/>
    </xf>
    <xf numFmtId="2" fontId="9" fillId="7" borderId="0" xfId="0" applyNumberFormat="1" applyFont="1" applyFill="1" applyBorder="1" applyAlignment="1">
      <alignment horizontal="center"/>
    </xf>
    <xf numFmtId="2" fontId="9" fillId="7" borderId="4" xfId="0" applyNumberFormat="1" applyFont="1" applyFill="1" applyBorder="1" applyAlignment="1">
      <alignment horizontal="center"/>
    </xf>
    <xf numFmtId="2" fontId="4" fillId="7" borderId="5" xfId="0" applyNumberFormat="1" applyFont="1" applyFill="1" applyBorder="1" applyAlignment="1">
      <alignment horizontal="center"/>
    </xf>
    <xf numFmtId="166" fontId="9" fillId="5" borderId="0" xfId="0" applyNumberFormat="1" applyFont="1" applyFill="1" applyBorder="1" applyAlignment="1">
      <alignment horizontal="center"/>
    </xf>
    <xf numFmtId="166" fontId="4" fillId="5" borderId="0" xfId="0" applyNumberFormat="1" applyFont="1" applyFill="1" applyBorder="1" applyAlignment="1">
      <alignment horizontal="center"/>
    </xf>
    <xf numFmtId="166" fontId="10" fillId="5" borderId="4" xfId="0" applyNumberFormat="1" applyFont="1" applyFill="1" applyBorder="1" applyAlignment="1">
      <alignment horizontal="center"/>
    </xf>
    <xf numFmtId="166" fontId="4" fillId="5" borderId="5" xfId="0" applyNumberFormat="1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4" fontId="4" fillId="8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horizontal="left"/>
    </xf>
    <xf numFmtId="167" fontId="4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10" borderId="6" xfId="0" applyFont="1" applyFill="1" applyBorder="1"/>
    <xf numFmtId="0" fontId="4" fillId="9" borderId="6" xfId="0" applyFont="1" applyFill="1" applyBorder="1"/>
    <xf numFmtId="0" fontId="4" fillId="11" borderId="6" xfId="0" applyFont="1" applyFill="1" applyBorder="1"/>
    <xf numFmtId="0" fontId="9" fillId="11" borderId="4" xfId="0" applyFont="1" applyFill="1" applyBorder="1" applyAlignment="1">
      <alignment horizontal="center"/>
    </xf>
    <xf numFmtId="4" fontId="9" fillId="11" borderId="0" xfId="0" applyNumberFormat="1" applyFont="1" applyFill="1" applyBorder="1" applyAlignment="1">
      <alignment horizontal="center"/>
    </xf>
    <xf numFmtId="4" fontId="4" fillId="11" borderId="0" xfId="0" applyNumberFormat="1" applyFont="1" applyFill="1" applyBorder="1" applyAlignment="1">
      <alignment horizontal="center"/>
    </xf>
    <xf numFmtId="0" fontId="4" fillId="6" borderId="6" xfId="0" applyFont="1" applyFill="1" applyBorder="1"/>
    <xf numFmtId="0" fontId="4" fillId="4" borderId="6" xfId="0" applyFont="1" applyFill="1" applyBorder="1"/>
    <xf numFmtId="0" fontId="9" fillId="0" borderId="4" xfId="0" applyFont="1" applyFill="1" applyBorder="1" applyAlignment="1">
      <alignment horizontal="center" wrapText="1"/>
    </xf>
    <xf numFmtId="0" fontId="12" fillId="12" borderId="4" xfId="0" applyFont="1" applyFill="1" applyBorder="1" applyAlignment="1">
      <alignment horizontal="center" wrapText="1"/>
    </xf>
    <xf numFmtId="166" fontId="12" fillId="12" borderId="5" xfId="0" applyNumberFormat="1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 wrapText="1"/>
    </xf>
    <xf numFmtId="0" fontId="12" fillId="13" borderId="0" xfId="0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2" fontId="12" fillId="13" borderId="0" xfId="0" applyNumberFormat="1" applyFont="1" applyFill="1" applyBorder="1" applyAlignment="1">
      <alignment horizontal="center"/>
    </xf>
    <xf numFmtId="164" fontId="12" fillId="13" borderId="0" xfId="0" applyNumberFormat="1" applyFont="1" applyFill="1" applyBorder="1" applyAlignment="1">
      <alignment horizontal="center"/>
    </xf>
    <xf numFmtId="0" fontId="4" fillId="13" borderId="6" xfId="0" applyFont="1" applyFill="1" applyBorder="1"/>
    <xf numFmtId="166" fontId="12" fillId="13" borderId="4" xfId="0" applyNumberFormat="1" applyFont="1" applyFill="1" applyBorder="1" applyAlignment="1">
      <alignment horizontal="center" wrapText="1"/>
    </xf>
    <xf numFmtId="2" fontId="12" fillId="13" borderId="5" xfId="0" applyNumberFormat="1" applyFont="1" applyFill="1" applyBorder="1" applyAlignment="1">
      <alignment horizontal="center"/>
    </xf>
    <xf numFmtId="166" fontId="12" fillId="13" borderId="5" xfId="0" applyNumberFormat="1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 wrapText="1"/>
    </xf>
    <xf numFmtId="167" fontId="12" fillId="13" borderId="0" xfId="0" applyNumberFormat="1" applyFont="1" applyFill="1" applyBorder="1" applyAlignment="1">
      <alignment horizontal="center"/>
    </xf>
    <xf numFmtId="166" fontId="12" fillId="13" borderId="0" xfId="0" applyNumberFormat="1" applyFont="1" applyFill="1" applyBorder="1" applyAlignment="1">
      <alignment horizontal="center"/>
    </xf>
    <xf numFmtId="0" fontId="15" fillId="0" borderId="0" xfId="0" applyFont="1"/>
    <xf numFmtId="0" fontId="4" fillId="0" borderId="5" xfId="0" applyFont="1" applyBorder="1" applyAlignment="1">
      <alignment horizontal="left"/>
    </xf>
    <xf numFmtId="167" fontId="4" fillId="0" borderId="5" xfId="0" applyNumberFormat="1" applyFont="1" applyBorder="1" applyAlignment="1">
      <alignment horizontal="center"/>
    </xf>
    <xf numFmtId="167" fontId="12" fillId="13" borderId="5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6" fillId="0" borderId="0" xfId="0" applyFont="1"/>
    <xf numFmtId="2" fontId="4" fillId="0" borderId="5" xfId="0" applyNumberFormat="1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4" fillId="0" borderId="0" xfId="1" applyAlignment="1">
      <alignment horizontal="left"/>
    </xf>
    <xf numFmtId="0" fontId="14" fillId="0" borderId="7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7</xdr:row>
      <xdr:rowOff>30480</xdr:rowOff>
    </xdr:from>
    <xdr:to>
      <xdr:col>20</xdr:col>
      <xdr:colOff>396240</xdr:colOff>
      <xdr:row>18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34200" y="1402080"/>
          <a:ext cx="4434840" cy="2080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"T"</a:t>
          </a:r>
          <a:r>
            <a:rPr lang="en-US" sz="1100" baseline="0"/>
            <a:t> Allowable Spread - http://wisconsindot.gov/rdwy/fdm/fd-13-25.pdf#fd13-25</a:t>
          </a:r>
        </a:p>
        <a:p>
          <a:endParaRPr lang="en-US" sz="1100" baseline="0"/>
        </a:p>
        <a:p>
          <a:r>
            <a:rPr lang="en-US" sz="1100" baseline="0"/>
            <a:t>Water may spread into 1/2 of the traveled lane at most.</a:t>
          </a:r>
        </a:p>
        <a:p>
          <a:endParaRPr lang="en-US" sz="1100" baseline="0"/>
        </a:p>
        <a:p>
          <a:r>
            <a:rPr lang="en-US" sz="1100" baseline="0"/>
            <a:t>Spread width may include parking lanes, shoulders, gutter pan width.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8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isconsindot.gov/rdwy/fdm/fd-13-25-035att.pdf" TargetMode="External"/><Relationship Id="rId2" Type="http://schemas.openxmlformats.org/officeDocument/2006/relationships/hyperlink" Target="http://wisconsindot.gov/rdwy/fdm/fd-13-10-005att.pdf" TargetMode="External"/><Relationship Id="rId1" Type="http://schemas.openxmlformats.org/officeDocument/2006/relationships/hyperlink" Target="http://websoilsurvey.nrcs.usda.gov/app/HomePage.htm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ww.fhwa.dot.gov/engineering/hydraulics/pubs/10009/10009.pdf" TargetMode="External"/><Relationship Id="rId4" Type="http://schemas.openxmlformats.org/officeDocument/2006/relationships/hyperlink" Target="https://www.fhwa.dot.gov/engineering/hydraulics/pubs/10009/10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workbookViewId="0">
      <selection activeCell="N27" sqref="N27"/>
    </sheetView>
  </sheetViews>
  <sheetFormatPr defaultColWidth="9.140625" defaultRowHeight="15" x14ac:dyDescent="0.25"/>
  <cols>
    <col min="1" max="1" width="6.85546875" style="88" bestFit="1" customWidth="1"/>
    <col min="2" max="2" width="11.5703125" style="88" bestFit="1" customWidth="1"/>
    <col min="3" max="3" width="8.42578125" style="88" bestFit="1" customWidth="1"/>
    <col min="4" max="4" width="8.42578125" style="88" customWidth="1"/>
    <col min="5" max="5" width="9.28515625" style="88" customWidth="1"/>
    <col min="6" max="7" width="9.28515625" style="88" bestFit="1" customWidth="1"/>
    <col min="8" max="9" width="8" style="88" bestFit="1" customWidth="1"/>
    <col min="10" max="16384" width="9.140625" style="88"/>
  </cols>
  <sheetData>
    <row r="2" spans="1:9" ht="18" x14ac:dyDescent="0.35">
      <c r="A2" s="88" t="s">
        <v>93</v>
      </c>
      <c r="B2" s="88" t="s">
        <v>104</v>
      </c>
      <c r="C2" s="88" t="s">
        <v>94</v>
      </c>
      <c r="D2" s="88" t="s">
        <v>112</v>
      </c>
      <c r="E2" s="88" t="s">
        <v>123</v>
      </c>
      <c r="F2" s="88" t="s">
        <v>105</v>
      </c>
      <c r="G2" s="88" t="s">
        <v>106</v>
      </c>
      <c r="H2" s="88" t="s">
        <v>107</v>
      </c>
      <c r="I2" s="88" t="s">
        <v>108</v>
      </c>
    </row>
    <row r="3" spans="1:9" x14ac:dyDescent="0.25">
      <c r="A3" s="88" t="s">
        <v>103</v>
      </c>
      <c r="B3" s="88">
        <v>0.3</v>
      </c>
      <c r="C3" s="88">
        <v>0.85</v>
      </c>
      <c r="D3" s="88">
        <f>'Inlet # E 100A (55)'!C16</f>
        <v>6.6</v>
      </c>
      <c r="E3" s="88">
        <v>8.3000000000000007</v>
      </c>
      <c r="F3" s="88">
        <v>5</v>
      </c>
      <c r="G3" s="88">
        <v>5</v>
      </c>
      <c r="H3" s="88">
        <f>B3*C3*D3</f>
        <v>1.6829999999999998</v>
      </c>
      <c r="I3" s="88">
        <f>B3*E3*C3</f>
        <v>2.1165000000000003</v>
      </c>
    </row>
    <row r="4" spans="1:9" x14ac:dyDescent="0.25">
      <c r="A4" s="88" t="s">
        <v>98</v>
      </c>
      <c r="B4" s="88">
        <v>1.7</v>
      </c>
      <c r="C4" s="88">
        <v>0.35</v>
      </c>
      <c r="D4" s="88">
        <f>'Inlet # E 100B (49)'!C16</f>
        <v>4.3</v>
      </c>
      <c r="E4" s="88">
        <v>5.2</v>
      </c>
      <c r="F4" s="88">
        <v>10.5</v>
      </c>
      <c r="G4" s="88">
        <v>10.4</v>
      </c>
      <c r="H4" s="88">
        <f>B4*C4*D4</f>
        <v>2.5585</v>
      </c>
      <c r="I4" s="88">
        <f t="shared" ref="I4:I12" si="0">B4*E4*C4</f>
        <v>3.0939999999999999</v>
      </c>
    </row>
    <row r="5" spans="1:9" x14ac:dyDescent="0.25">
      <c r="A5" s="88" t="s">
        <v>97</v>
      </c>
      <c r="B5" s="88">
        <v>1.7</v>
      </c>
      <c r="C5" s="88">
        <v>0.35</v>
      </c>
      <c r="D5" s="88">
        <f>'Inlet # E 200A (48)'!C16</f>
        <v>5.2</v>
      </c>
      <c r="E5" s="88">
        <v>6.4</v>
      </c>
      <c r="F5" s="88">
        <v>7</v>
      </c>
      <c r="G5" s="88">
        <v>6.8</v>
      </c>
      <c r="H5" s="88">
        <f>B5*C5*D5</f>
        <v>3.0939999999999999</v>
      </c>
      <c r="I5" s="88">
        <f t="shared" si="0"/>
        <v>3.8079999999999998</v>
      </c>
    </row>
    <row r="6" spans="1:9" x14ac:dyDescent="0.25">
      <c r="A6" s="88" t="s">
        <v>99</v>
      </c>
      <c r="B6" s="88">
        <v>0.1</v>
      </c>
      <c r="C6" s="88">
        <v>0.85</v>
      </c>
      <c r="D6" s="88">
        <f>'Inlet # E 200B (50)'!C16</f>
        <v>6.4</v>
      </c>
      <c r="E6" s="88">
        <v>8.1999999999999993</v>
      </c>
      <c r="F6" s="88">
        <v>5</v>
      </c>
      <c r="G6" s="88">
        <v>5</v>
      </c>
      <c r="H6" s="88">
        <f>B6*C6*D6</f>
        <v>0.54400000000000004</v>
      </c>
      <c r="I6" s="88">
        <f t="shared" si="0"/>
        <v>0.69699999999999995</v>
      </c>
    </row>
    <row r="7" spans="1:9" x14ac:dyDescent="0.25">
      <c r="A7" s="88" t="s">
        <v>96</v>
      </c>
      <c r="B7" s="88">
        <v>1.5</v>
      </c>
      <c r="C7" s="88">
        <v>0.35</v>
      </c>
      <c r="D7" s="88">
        <f>'Inlet # E 200C (47)'!C16</f>
        <v>4.9000000000000004</v>
      </c>
      <c r="E7" s="88">
        <v>6.1</v>
      </c>
      <c r="F7" s="88">
        <v>7.9</v>
      </c>
      <c r="G7" s="88">
        <v>7.7</v>
      </c>
      <c r="H7" s="88">
        <f>B7*C7*D7</f>
        <v>2.5724999999999998</v>
      </c>
      <c r="I7" s="88">
        <f t="shared" si="0"/>
        <v>3.2024999999999992</v>
      </c>
    </row>
    <row r="8" spans="1:9" x14ac:dyDescent="0.25">
      <c r="A8" s="88" t="s">
        <v>100</v>
      </c>
      <c r="B8" s="88">
        <v>0.1</v>
      </c>
      <c r="C8" s="88">
        <v>0.85</v>
      </c>
      <c r="D8" s="88">
        <f>'Inlet # E 200D (51)'!C16</f>
        <v>7.1</v>
      </c>
      <c r="E8" s="88">
        <v>8.9</v>
      </c>
      <c r="F8" s="88">
        <v>5</v>
      </c>
      <c r="G8" s="88">
        <v>5</v>
      </c>
      <c r="H8" s="88">
        <f>B8*C8*D8</f>
        <v>0.60350000000000004</v>
      </c>
      <c r="I8" s="88">
        <f t="shared" si="0"/>
        <v>0.75650000000000006</v>
      </c>
    </row>
    <row r="9" spans="1:9" x14ac:dyDescent="0.25">
      <c r="A9" s="88" t="s">
        <v>110</v>
      </c>
      <c r="B9" s="88">
        <v>0.5</v>
      </c>
      <c r="C9" s="88">
        <v>0.85</v>
      </c>
      <c r="D9" s="88">
        <f>'Inlet # P 300A (54)'!C16</f>
        <v>7</v>
      </c>
      <c r="E9" s="88">
        <v>8.8000000000000007</v>
      </c>
      <c r="F9" s="88">
        <v>5</v>
      </c>
      <c r="G9" s="88">
        <v>5</v>
      </c>
      <c r="H9" s="88">
        <f>B9*C9*D9</f>
        <v>2.9750000000000001</v>
      </c>
      <c r="I9" s="88">
        <f t="shared" si="0"/>
        <v>3.74</v>
      </c>
    </row>
    <row r="10" spans="1:9" x14ac:dyDescent="0.25">
      <c r="A10" s="88" t="s">
        <v>101</v>
      </c>
      <c r="B10" s="88">
        <v>9.1</v>
      </c>
      <c r="C10" s="88">
        <v>0.35</v>
      </c>
      <c r="D10" s="88">
        <f>'Inlet # E 300B (52)'!C16</f>
        <v>4.5</v>
      </c>
      <c r="E10" s="88">
        <v>5.2</v>
      </c>
      <c r="F10" s="88">
        <v>10.3</v>
      </c>
      <c r="G10" s="88">
        <v>10.199999999999999</v>
      </c>
      <c r="H10" s="88">
        <f>B10*C10*D10</f>
        <v>14.332499999999998</v>
      </c>
      <c r="I10" s="88">
        <f t="shared" si="0"/>
        <v>16.561999999999998</v>
      </c>
    </row>
    <row r="11" spans="1:9" x14ac:dyDescent="0.25">
      <c r="A11" s="88" t="s">
        <v>95</v>
      </c>
      <c r="B11" s="89">
        <f>'Inlet # E 500A (46)'!C4</f>
        <v>8.3000000000000007</v>
      </c>
      <c r="C11" s="88">
        <v>0.35</v>
      </c>
      <c r="D11" s="88">
        <f>'Inlet # E 500A (46)'!C16</f>
        <v>3.5</v>
      </c>
      <c r="E11" s="88">
        <v>4.0999999999999996</v>
      </c>
      <c r="F11" s="88">
        <v>17.600000000000001</v>
      </c>
      <c r="G11" s="88">
        <v>17.2</v>
      </c>
      <c r="H11" s="88">
        <f>B11*C11*D11</f>
        <v>10.1675</v>
      </c>
      <c r="I11" s="88">
        <f t="shared" si="0"/>
        <v>11.910499999999999</v>
      </c>
    </row>
    <row r="12" spans="1:9" x14ac:dyDescent="0.25">
      <c r="A12" s="88" t="s">
        <v>102</v>
      </c>
      <c r="B12" s="88">
        <v>0.4</v>
      </c>
      <c r="C12" s="88">
        <v>0.85</v>
      </c>
      <c r="D12" s="88">
        <f>'Inlet # E 600A (53)'!C16</f>
        <v>5</v>
      </c>
      <c r="E12" s="88">
        <v>6.2</v>
      </c>
      <c r="F12" s="88">
        <v>7.4</v>
      </c>
      <c r="G12" s="88">
        <v>7.1</v>
      </c>
      <c r="H12" s="88">
        <f>B12*C12*D12</f>
        <v>1.7000000000000002</v>
      </c>
      <c r="I12" s="88">
        <f t="shared" si="0"/>
        <v>2.1080000000000001</v>
      </c>
    </row>
    <row r="13" spans="1:9" x14ac:dyDescent="0.25">
      <c r="A13" s="88" t="s">
        <v>109</v>
      </c>
      <c r="B13" s="89">
        <f>SUM(B7:B12)</f>
        <v>19.899999999999999</v>
      </c>
    </row>
    <row r="18" spans="7:7" x14ac:dyDescent="0.25">
      <c r="G18" s="88">
        <f>SUM(H5:H8)</f>
        <v>6.8140000000000001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121</v>
      </c>
      <c r="B4" s="51">
        <v>0</v>
      </c>
      <c r="C4" s="35">
        <v>8.3000000000000007</v>
      </c>
      <c r="D4" s="51">
        <v>0</v>
      </c>
      <c r="E4" s="68">
        <f>D4/43560</f>
        <v>0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0.35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40</v>
      </c>
      <c r="C6" s="49">
        <v>2.5</v>
      </c>
      <c r="D6" s="65">
        <f>IFERROR(C6/B6,"")</f>
        <v>6.25E-2</v>
      </c>
      <c r="E6" s="65">
        <v>0.93300000000000005</v>
      </c>
      <c r="F6" s="49">
        <v>0.4</v>
      </c>
      <c r="G6" s="81">
        <v>4.0999999999999996</v>
      </c>
      <c r="H6" s="10">
        <f>IFERROR((E6/(G6^0.4))*(((F6*B6)/(D6^0.5))^0.6),"")</f>
        <v>6.4339263541556653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667</v>
      </c>
      <c r="C8" s="83">
        <v>44</v>
      </c>
      <c r="D8" s="67">
        <v>0.93300000000000005</v>
      </c>
      <c r="E8" s="20">
        <v>0.49099999999999999</v>
      </c>
      <c r="F8" s="72">
        <f>IFERROR((C8/B8)*100,"")</f>
        <v>6.5967016491754125</v>
      </c>
      <c r="G8" s="72">
        <f>IFERROR((F8^0.5)*E8*D8,"")</f>
        <v>1.1765938043051372</v>
      </c>
      <c r="H8" s="73">
        <f>IFERROR(B8/G8,"")</f>
        <v>566.8906274701244</v>
      </c>
      <c r="I8" s="34">
        <f>IFERROR(H8/60,"")</f>
        <v>9.4481771245020738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333.11200000000002</v>
      </c>
      <c r="C10" s="83">
        <v>2.9</v>
      </c>
      <c r="D10" s="67">
        <v>1.49</v>
      </c>
      <c r="E10" s="20">
        <v>1.2999999999999999E-2</v>
      </c>
      <c r="F10" s="79">
        <v>0.625</v>
      </c>
      <c r="G10" s="80">
        <f>IFERROR(C10/B10,"")</f>
        <v>8.7057806383438602E-3</v>
      </c>
      <c r="H10" s="72">
        <f>IFERROR((D10/E10)*(F10^(2/3))*(G10^(1/2)),"")</f>
        <v>7.8174801585037565</v>
      </c>
      <c r="I10" s="73">
        <f>IFERROR(B10/H10,"")</f>
        <v>42.611173069322724</v>
      </c>
      <c r="J10" s="34">
        <f>IF(I10="","",I10/60)</f>
        <v>0.71018621782204538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380</v>
      </c>
      <c r="C12" s="83">
        <v>5.35</v>
      </c>
      <c r="D12" s="65">
        <v>1.1100000000000001</v>
      </c>
      <c r="E12" s="9">
        <v>1.2999999999999999E-2</v>
      </c>
      <c r="F12" s="9">
        <v>16</v>
      </c>
      <c r="G12" s="48">
        <v>6.25E-2</v>
      </c>
      <c r="H12" s="75">
        <f>IFERROR(C12/B12,"")</f>
        <v>1.4078947368421052E-2</v>
      </c>
      <c r="I12" s="68">
        <f>IFERROR((D12/E12)*(G12^0.67)*(H12^0.5)*(F12^0.67),"")</f>
        <v>10.131289354276115</v>
      </c>
      <c r="J12" s="76">
        <f>IF(I12="","",B12/I12)</f>
        <v>37.50756559327894</v>
      </c>
      <c r="K12" s="10">
        <f>IF(J12="","",J12/60)</f>
        <v>0.62512609322131563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6.4339263541556653</v>
      </c>
      <c r="C14" s="63">
        <f>I8</f>
        <v>9.4481771245020738</v>
      </c>
      <c r="D14" s="63">
        <f>J10</f>
        <v>0.71018621782204538</v>
      </c>
      <c r="E14" s="63">
        <f>K12</f>
        <v>0.62512609322131563</v>
      </c>
      <c r="F14" s="24">
        <f>SUM(B14:E14)</f>
        <v>17.2174157897011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0.35</v>
      </c>
      <c r="C16" s="39">
        <v>3.5</v>
      </c>
      <c r="D16" s="31">
        <f>C4</f>
        <v>8.3000000000000007</v>
      </c>
      <c r="E16" s="22">
        <f>IFERROR(B16*C16*D16,"")</f>
        <v>10.1675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0.35</v>
      </c>
      <c r="C18" s="41">
        <v>4.0999999999999996</v>
      </c>
      <c r="D18" s="37">
        <f>C4</f>
        <v>8.3000000000000007</v>
      </c>
      <c r="E18" s="27">
        <f>IFERROR(B18*C18*D18,"")</f>
        <v>11.910499999999999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18.600000000000001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18.100000000000001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122</v>
      </c>
      <c r="B4" s="51">
        <v>0</v>
      </c>
      <c r="C4" s="35">
        <v>0.4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0.85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4.0000000000000001E-3</v>
      </c>
      <c r="D6" s="65">
        <f>IFERROR(C6/B6,"")</f>
        <v>2.0000000000000001E-4</v>
      </c>
      <c r="E6" s="65">
        <v>0.93300000000000005</v>
      </c>
      <c r="F6" s="49">
        <v>1.2999999999999999E-2</v>
      </c>
      <c r="G6" s="81">
        <v>5</v>
      </c>
      <c r="H6" s="10">
        <f>IFERROR((E6/(G6^0.4))*(((F6*B6)/(D6^0.5))^0.6),"")</f>
        <v>2.8116978712975227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16.3</v>
      </c>
      <c r="C8" s="83">
        <v>6.0000000000000001E-3</v>
      </c>
      <c r="D8" s="67">
        <v>0.93300000000000005</v>
      </c>
      <c r="E8" s="20">
        <v>0.61899999999999999</v>
      </c>
      <c r="F8" s="72">
        <f>IFERROR((C8/B8)*100,"")</f>
        <v>3.6809815950920241E-2</v>
      </c>
      <c r="G8" s="72">
        <f>IFERROR((F8^0.5)*E8*D8,"")</f>
        <v>0.11080366249328757</v>
      </c>
      <c r="H8" s="73">
        <f>IFERROR(B8/G8,"")</f>
        <v>147.10705073478456</v>
      </c>
      <c r="I8" s="34">
        <f>IFERROR(H8/60,"")</f>
        <v>2.4517841789130759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226.36600000000001</v>
      </c>
      <c r="C10" s="83">
        <v>0.5</v>
      </c>
      <c r="D10" s="67">
        <v>1.49</v>
      </c>
      <c r="E10" s="20">
        <v>1.2999999999999999E-2</v>
      </c>
      <c r="F10" s="79">
        <v>0.625</v>
      </c>
      <c r="G10" s="80">
        <f>IFERROR(C10/B10,"")</f>
        <v>2.2088122774621627E-3</v>
      </c>
      <c r="H10" s="72">
        <f>IFERROR((D10/E10)*(F10^(2/3))*(G10^(1/2)),"")</f>
        <v>3.9376973328724416</v>
      </c>
      <c r="I10" s="73">
        <f>IFERROR(B10/H10,"")</f>
        <v>57.48689674807288</v>
      </c>
      <c r="J10" s="34">
        <f>IF(I10="","",I10/60)</f>
        <v>0.9581149458012147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541.6</v>
      </c>
      <c r="C12" s="83">
        <v>9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1.6617429837518464E-2</v>
      </c>
      <c r="I12" s="68">
        <f>IFERROR((D12/E12)*(G12^0.67)*(H12^0.5)*(F12^0.67),"")</f>
        <v>7.8166900429633142</v>
      </c>
      <c r="J12" s="76">
        <f>IF(I12="","",B12/I12)</f>
        <v>69.28763927227169</v>
      </c>
      <c r="K12" s="10">
        <f>IF(J12="","",J12/60)</f>
        <v>1.1547939878711948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2.8116978712975227</v>
      </c>
      <c r="C14" s="63">
        <f>I8</f>
        <v>2.4517841789130759</v>
      </c>
      <c r="D14" s="63">
        <f>J10</f>
        <v>0.9581149458012147</v>
      </c>
      <c r="E14" s="63">
        <f>K12</f>
        <v>1.1547939878711948</v>
      </c>
      <c r="F14" s="24">
        <f>SUM(B14:E14)</f>
        <v>7.3763909838830077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0.85</v>
      </c>
      <c r="C16" s="39">
        <v>5</v>
      </c>
      <c r="D16" s="31">
        <f>C4</f>
        <v>0.4</v>
      </c>
      <c r="E16" s="22">
        <f>IFERROR(B16*C16*D16,"")</f>
        <v>1.7000000000000002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0.85</v>
      </c>
      <c r="C18" s="41">
        <v>6.2</v>
      </c>
      <c r="D18" s="37">
        <f>C4</f>
        <v>0.4</v>
      </c>
      <c r="E18" s="27">
        <f>IFERROR(B18*C18*D18,"")</f>
        <v>2.1080000000000001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7.4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7.1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23" sqref="G23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111</v>
      </c>
      <c r="B4" s="51">
        <v>1029901.1494</v>
      </c>
      <c r="C4" s="35">
        <f>B4/43560</f>
        <v>23.643277075298439</v>
      </c>
      <c r="D4" s="51"/>
      <c r="E4" s="68">
        <f>D4/43560</f>
        <v>0</v>
      </c>
      <c r="F4" s="69">
        <f>IFERROR(D4/B4,"")</f>
        <v>0</v>
      </c>
      <c r="G4" s="69">
        <f>IFERROR(1-F4,"")</f>
        <v>1</v>
      </c>
      <c r="H4" s="58"/>
      <c r="I4" s="58" t="str">
        <f>IF(F41=0,"",F41)</f>
        <v/>
      </c>
      <c r="J4" s="57">
        <v>0.35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1.4</v>
      </c>
      <c r="D6" s="65">
        <f>IFERROR(C6/B6,"")</f>
        <v>6.9999999999999993E-2</v>
      </c>
      <c r="E6" s="65">
        <v>0.93300000000000005</v>
      </c>
      <c r="F6" s="49">
        <v>0.4</v>
      </c>
      <c r="G6" s="81">
        <v>4.2</v>
      </c>
      <c r="H6" s="10">
        <f>IFERROR((E6/(G6^0.4))*(((F6*B6)/(D6^0.5))^0.6),"")</f>
        <v>4.0635584198400565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790</v>
      </c>
      <c r="C8" s="83">
        <v>55</v>
      </c>
      <c r="D8" s="67">
        <v>0.93300000000000005</v>
      </c>
      <c r="E8" s="20">
        <v>0.49099999999999999</v>
      </c>
      <c r="F8" s="72">
        <f>IFERROR((C8/B8)*100,"")</f>
        <v>6.962025316455696</v>
      </c>
      <c r="G8" s="72">
        <f>IFERROR((F8^0.5)*E8*D8,"")</f>
        <v>1.2087345471631463</v>
      </c>
      <c r="H8" s="73">
        <f>IFERROR(B8/G8,"")</f>
        <v>653.57609067607086</v>
      </c>
      <c r="I8" s="34">
        <f>IFERROR(H8/60,"")</f>
        <v>10.89293484460118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320</v>
      </c>
      <c r="C10" s="83">
        <v>5.54</v>
      </c>
      <c r="D10" s="67">
        <v>1.49</v>
      </c>
      <c r="E10" s="20">
        <v>1.2999999999999999E-2</v>
      </c>
      <c r="F10" s="79">
        <v>0.3125</v>
      </c>
      <c r="G10" s="80">
        <f>IFERROR(C10/B10,"")</f>
        <v>1.7312500000000001E-2</v>
      </c>
      <c r="H10" s="72">
        <f>IFERROR((D10/E10)*(F10^(2/3))*(G10^(1/2)),"")</f>
        <v>6.9447426546718587</v>
      </c>
      <c r="I10" s="73">
        <f>IFERROR(B10/H10,"")</f>
        <v>46.078021305041446</v>
      </c>
      <c r="J10" s="34">
        <f>IF(I10="","",I10/60)</f>
        <v>0.76796702175069076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261</v>
      </c>
      <c r="C12" s="83">
        <v>5</v>
      </c>
      <c r="D12" s="65">
        <v>1.1100000000000001</v>
      </c>
      <c r="E12" s="9">
        <v>1.2999999999999999E-2</v>
      </c>
      <c r="F12" s="9">
        <v>14</v>
      </c>
      <c r="G12" s="48">
        <v>6.25E-2</v>
      </c>
      <c r="H12" s="75">
        <f>IFERROR(C12/B12,"")</f>
        <v>1.9157088122605363E-2</v>
      </c>
      <c r="I12" s="68">
        <f>IFERROR((D12/E12)*(G12^0.67)*(H12^0.5)*(F12^0.67),"")</f>
        <v>10.806617266293381</v>
      </c>
      <c r="J12" s="76">
        <f>IF(I12="","",B12/I12)</f>
        <v>24.151868579086059</v>
      </c>
      <c r="K12" s="10">
        <f>IF(J12="","",J12/60)</f>
        <v>0.40253114298476766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4.0635584198400565</v>
      </c>
      <c r="C14" s="63">
        <f>I8</f>
        <v>10.89293484460118</v>
      </c>
      <c r="D14" s="63">
        <f>J10</f>
        <v>0.76796702175069076</v>
      </c>
      <c r="E14" s="63">
        <f>K12</f>
        <v>0.40253114298476766</v>
      </c>
      <c r="F14" s="24">
        <f>SUM(B14:E14)</f>
        <v>16.126991429176694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0.35</v>
      </c>
      <c r="C16" s="39">
        <v>3.7</v>
      </c>
      <c r="D16" s="31">
        <f>C4</f>
        <v>23.643277075298439</v>
      </c>
      <c r="E16" s="22">
        <f>IFERROR(B16*C16*D16,"")</f>
        <v>30.618043812511477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0.35</v>
      </c>
      <c r="C18" s="41">
        <v>4.2</v>
      </c>
      <c r="D18" s="37">
        <f>C4</f>
        <v>23.643277075298439</v>
      </c>
      <c r="E18" s="27">
        <f>IFERROR(B18*C18*D18,"")</f>
        <v>34.755617300688705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A5" sqref="A5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113</v>
      </c>
      <c r="B4" s="51">
        <v>0</v>
      </c>
      <c r="C4" s="35">
        <v>0.3</v>
      </c>
      <c r="D4" s="51"/>
      <c r="E4" s="68">
        <f>D4/43560</f>
        <v>0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0.85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0.9</v>
      </c>
      <c r="D6" s="65">
        <f>IFERROR(C6/B6,"")</f>
        <v>4.4999999999999998E-2</v>
      </c>
      <c r="E6" s="65">
        <v>0.93300000000000005</v>
      </c>
      <c r="F6" s="49">
        <v>1.2999999999999999E-2</v>
      </c>
      <c r="G6" s="81">
        <v>8.3000000000000007</v>
      </c>
      <c r="H6" s="10">
        <f>IFERROR((E6/(G6^0.4))*(((F6*B6)/(D6^0.5))^0.6),"")</f>
        <v>0.4521376382629288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22.6</v>
      </c>
      <c r="C8" s="83">
        <v>0.8</v>
      </c>
      <c r="D8" s="67">
        <v>0.93300000000000005</v>
      </c>
      <c r="E8" s="20">
        <v>0.61899999999999999</v>
      </c>
      <c r="F8" s="72">
        <f>IFERROR((C8/B8)*100,"")</f>
        <v>3.5398230088495577</v>
      </c>
      <c r="G8" s="72">
        <f>IFERROR((F8^0.5)*E8*D8,"")</f>
        <v>1.0865834019099478</v>
      </c>
      <c r="H8" s="73">
        <f>IFERROR(B8/G8,"")</f>
        <v>20.799139725744688</v>
      </c>
      <c r="I8" s="34">
        <f>IFERROR(H8/60,"")</f>
        <v>0.34665232876241148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614.54999999999995</v>
      </c>
      <c r="C10" s="83">
        <v>3.4</v>
      </c>
      <c r="D10" s="67">
        <v>1.49</v>
      </c>
      <c r="E10" s="20">
        <v>1.2999999999999999E-2</v>
      </c>
      <c r="F10" s="79">
        <v>0.625</v>
      </c>
      <c r="G10" s="80">
        <f>IFERROR(C10/B10,"")</f>
        <v>5.5325034578146614E-3</v>
      </c>
      <c r="H10" s="72">
        <f>IFERROR((D10/E10)*(F10^(2/3))*(G10^(1/2)),"")</f>
        <v>6.2319473370778988</v>
      </c>
      <c r="I10" s="73">
        <f>IFERROR(B10/H10,"")</f>
        <v>98.612835885766103</v>
      </c>
      <c r="J10" s="34">
        <f>IF(I10="","",I10/60)</f>
        <v>1.6435472647627685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134.6</v>
      </c>
      <c r="C12" s="83">
        <v>0.46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3.4175334323922738E-3</v>
      </c>
      <c r="I12" s="68">
        <f>IFERROR((D12/E12)*(G12^0.67)*(H12^0.5)*(F12^0.67),"")</f>
        <v>3.5448458156438702</v>
      </c>
      <c r="J12" s="76">
        <f>IF(I12="","",B12/I12)</f>
        <v>37.970621854973921</v>
      </c>
      <c r="K12" s="10">
        <f>IF(J12="","",J12/60)</f>
        <v>0.63284369758289871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0.4521376382629288</v>
      </c>
      <c r="C14" s="63">
        <f>I8</f>
        <v>0.34665232876241148</v>
      </c>
      <c r="D14" s="63">
        <f>J10</f>
        <v>1.6435472647627685</v>
      </c>
      <c r="E14" s="63">
        <f>K12</f>
        <v>0.63284369758289871</v>
      </c>
      <c r="F14" s="24">
        <f>SUM(B14:E14)</f>
        <v>3.0751809293710077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0.85</v>
      </c>
      <c r="C16" s="39">
        <v>6.6</v>
      </c>
      <c r="D16" s="31">
        <f>C4</f>
        <v>0.3</v>
      </c>
      <c r="E16" s="22">
        <f>IFERROR(B16*C16*D16,"")</f>
        <v>1.6829999999999998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0.85</v>
      </c>
      <c r="C18" s="41">
        <v>8.3000000000000007</v>
      </c>
      <c r="D18" s="37">
        <f>C4</f>
        <v>0.3</v>
      </c>
      <c r="E18" s="27">
        <f>IFERROR(B18*C18*D18,"")</f>
        <v>2.1165000000000003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5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5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/>
      <c r="B4" s="51">
        <v>0</v>
      </c>
      <c r="C4" s="35">
        <f>B4/43560</f>
        <v>0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 t="str">
        <f>IFERROR(((H4*E4)+(I4*(C4-E4)))/C4,"")</f>
        <v/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/>
      <c r="C6" s="49"/>
      <c r="D6" s="65" t="str">
        <f>IFERROR(C6/B6,"")</f>
        <v/>
      </c>
      <c r="E6" s="65">
        <v>0.93300000000000005</v>
      </c>
      <c r="F6" s="49">
        <v>0.15</v>
      </c>
      <c r="G6" s="81"/>
      <c r="H6" s="10" t="str">
        <f>IFERROR((E6/(G6^0.4))*(((F6*B6)/(D6^0.5))^0.6),"")</f>
        <v/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/>
      <c r="C8" s="83"/>
      <c r="D8" s="67">
        <v>0.93300000000000005</v>
      </c>
      <c r="E8" s="20"/>
      <c r="F8" s="72" t="str">
        <f>IFERROR((C8/B8)*100,"")</f>
        <v/>
      </c>
      <c r="G8" s="72" t="str">
        <f>IFERROR((F8^0.5)*E8*D8,"")</f>
        <v/>
      </c>
      <c r="H8" s="73" t="str">
        <f>IFERROR(B8/G8,"")</f>
        <v/>
      </c>
      <c r="I8" s="34" t="str">
        <f>IFERROR(H8/60,"")</f>
        <v/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/>
      <c r="C10" s="83"/>
      <c r="D10" s="67">
        <v>1.49</v>
      </c>
      <c r="E10" s="20">
        <v>1.2999999999999999E-2</v>
      </c>
      <c r="F10" s="79"/>
      <c r="G10" s="80" t="str">
        <f>IFERROR(C10/B10,"")</f>
        <v/>
      </c>
      <c r="H10" s="72" t="str">
        <f>IFERROR((D10/E10)*(F10^(2/3))*(G10^(1/2)),"")</f>
        <v/>
      </c>
      <c r="I10" s="73" t="str">
        <f>IFERROR(B10/H10,"")</f>
        <v/>
      </c>
      <c r="J10" s="34" t="str">
        <f>IF(I10="","",I10/60)</f>
        <v/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/>
      <c r="C12" s="83"/>
      <c r="D12" s="65">
        <v>1.1100000000000001</v>
      </c>
      <c r="E12" s="9">
        <v>1.2999999999999999E-2</v>
      </c>
      <c r="F12" s="9">
        <v>12</v>
      </c>
      <c r="G12" s="48"/>
      <c r="H12" s="75" t="str">
        <f>IFERROR(C12/B12,"")</f>
        <v/>
      </c>
      <c r="I12" s="68" t="str">
        <f>IFERROR((D12/E12)*(G12^0.67)*(H12^0.5)*(F12^0.67),"")</f>
        <v/>
      </c>
      <c r="J12" s="76" t="str">
        <f>IF(I12="","",B12/I12)</f>
        <v/>
      </c>
      <c r="K12" s="10" t="str">
        <f>IF(J12="","",J12/60)</f>
        <v/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 t="str">
        <f>H6</f>
        <v/>
      </c>
      <c r="C14" s="63" t="str">
        <f>I8</f>
        <v/>
      </c>
      <c r="D14" s="63" t="str">
        <f>J10</f>
        <v/>
      </c>
      <c r="E14" s="63" t="str">
        <f>K12</f>
        <v/>
      </c>
      <c r="F14" s="24">
        <f>SUM(B14:E14)</f>
        <v>0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 t="str">
        <f>J4</f>
        <v/>
      </c>
      <c r="C16" s="39"/>
      <c r="D16" s="31">
        <f>C4</f>
        <v>0</v>
      </c>
      <c r="E16" s="22" t="str">
        <f>IFERROR(B16*C16*D16,"")</f>
        <v/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 t="str">
        <f>J4</f>
        <v/>
      </c>
      <c r="C18" s="41"/>
      <c r="D18" s="37">
        <f>C4</f>
        <v>0</v>
      </c>
      <c r="E18" s="27" t="str">
        <f>IFERROR(B18*C18*D18,"")</f>
        <v/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/>
    </row>
    <row r="21" spans="1:11" ht="27.75" thickTop="1" x14ac:dyDescent="0.2">
      <c r="C21" s="17" t="s">
        <v>92</v>
      </c>
    </row>
    <row r="22" spans="1:11" ht="13.5" thickBot="1" x14ac:dyDescent="0.25">
      <c r="C22" s="24"/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114</v>
      </c>
      <c r="B4" s="51">
        <v>0</v>
      </c>
      <c r="C4" s="35">
        <v>1.7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0.35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2.4</v>
      </c>
      <c r="D6" s="65">
        <f>IFERROR(C6/B6,"")</f>
        <v>0.12</v>
      </c>
      <c r="E6" s="65">
        <v>0.93300000000000005</v>
      </c>
      <c r="F6" s="49">
        <v>0.15</v>
      </c>
      <c r="G6" s="81">
        <v>5.2</v>
      </c>
      <c r="H6" s="10">
        <f>IFERROR((E6/(G6^0.4))*(((F6*B6)/(D6^0.5))^0.6),"")</f>
        <v>1.7619707125915611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545.9</v>
      </c>
      <c r="C8" s="83">
        <v>46.9</v>
      </c>
      <c r="D8" s="67">
        <v>0.93300000000000005</v>
      </c>
      <c r="E8" s="20">
        <v>0.49099999999999999</v>
      </c>
      <c r="F8" s="72">
        <f>IFERROR((C8/B8)*100,"")</f>
        <v>8.5913170910423151</v>
      </c>
      <c r="G8" s="72">
        <f>IFERROR((F8^0.5)*E8*D8,"")</f>
        <v>1.3427433496448935</v>
      </c>
      <c r="H8" s="73">
        <f>IFERROR(B8/G8,"")</f>
        <v>406.55572797613974</v>
      </c>
      <c r="I8" s="34">
        <f>IFERROR(H8/60,"")</f>
        <v>6.7759287996023287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675.80899999999997</v>
      </c>
      <c r="C10" s="83">
        <v>4.3</v>
      </c>
      <c r="D10" s="67">
        <v>1.49</v>
      </c>
      <c r="E10" s="20">
        <v>1.2999999999999999E-2</v>
      </c>
      <c r="F10" s="79">
        <v>0.625</v>
      </c>
      <c r="G10" s="80">
        <f>IFERROR(C10/B10,"")</f>
        <v>6.3627445032546177E-3</v>
      </c>
      <c r="H10" s="72">
        <f>IFERROR((D10/E10)*(F10^(2/3))*(G10^(1/2)),"")</f>
        <v>6.6832109562193027</v>
      </c>
      <c r="I10" s="73">
        <f>IFERROR(B10/H10,"")</f>
        <v>101.12040521047768</v>
      </c>
      <c r="J10" s="34">
        <f>IF(I10="","",I10/60)</f>
        <v>1.6853400868412947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62.1</v>
      </c>
      <c r="C12" s="83">
        <v>0.7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1.1272141706924315E-2</v>
      </c>
      <c r="I12" s="68">
        <f>IFERROR((D12/E12)*(G12^0.67)*(H12^0.5)*(F12^0.67),"")</f>
        <v>6.4378993723094071</v>
      </c>
      <c r="J12" s="76">
        <f>IF(I12="","",B12/I12)</f>
        <v>9.6460035189589259</v>
      </c>
      <c r="K12" s="10">
        <f>IF(J12="","",J12/60)</f>
        <v>0.1607667253159821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1.7619707125915611</v>
      </c>
      <c r="C14" s="63">
        <f>I8</f>
        <v>6.7759287996023287</v>
      </c>
      <c r="D14" s="63">
        <f>J10</f>
        <v>1.6853400868412947</v>
      </c>
      <c r="E14" s="63">
        <f>K12</f>
        <v>0.1607667253159821</v>
      </c>
      <c r="F14" s="24">
        <f>SUM(B14:E14)</f>
        <v>10.384006324351168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0.35</v>
      </c>
      <c r="C16" s="39">
        <v>4.3</v>
      </c>
      <c r="D16" s="31">
        <f>C4</f>
        <v>1.7</v>
      </c>
      <c r="E16" s="22">
        <f>IFERROR(B16*C16*D16,"")</f>
        <v>2.5584999999999996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0.35</v>
      </c>
      <c r="C18" s="41">
        <v>5.2</v>
      </c>
      <c r="D18" s="37">
        <f>C4</f>
        <v>1.7</v>
      </c>
      <c r="E18" s="27">
        <f>IFERROR(B18*C18*D18,"")</f>
        <v>3.0939999999999999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10.5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10.4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115</v>
      </c>
      <c r="B4" s="51">
        <v>0</v>
      </c>
      <c r="C4" s="35">
        <v>1.7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0.35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3.6</v>
      </c>
      <c r="D6" s="65">
        <f>IFERROR(C6/B6,"")</f>
        <v>0.18</v>
      </c>
      <c r="E6" s="65">
        <v>0.93300000000000005</v>
      </c>
      <c r="F6" s="49">
        <v>0.4</v>
      </c>
      <c r="G6" s="81">
        <v>6.4</v>
      </c>
      <c r="H6" s="10">
        <f>IFERROR((E6/(G6^0.4))*(((F6*B6)/(D6^0.5))^0.6),"")</f>
        <v>2.5863178358395578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316.5</v>
      </c>
      <c r="C8" s="83">
        <v>41.7</v>
      </c>
      <c r="D8" s="67">
        <v>0.93300000000000005</v>
      </c>
      <c r="E8" s="20">
        <v>0.49099999999999999</v>
      </c>
      <c r="F8" s="72">
        <f>IFERROR((C8/B8)*100,"")</f>
        <v>13.175355450236967</v>
      </c>
      <c r="G8" s="72">
        <f>IFERROR((F8^0.5)*E8*D8,"")</f>
        <v>1.6628164266920362</v>
      </c>
      <c r="H8" s="73">
        <f>IFERROR(B8/G8,"")</f>
        <v>190.33971214106711</v>
      </c>
      <c r="I8" s="34">
        <f>IFERROR(H8/60,"")</f>
        <v>3.1723285356844517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596.63699999999994</v>
      </c>
      <c r="C10" s="83">
        <v>12.8</v>
      </c>
      <c r="D10" s="67">
        <v>1.49</v>
      </c>
      <c r="E10" s="20">
        <v>1.2999999999999999E-2</v>
      </c>
      <c r="F10" s="79">
        <v>0.625</v>
      </c>
      <c r="G10" s="80">
        <f>IFERROR(C10/B10,"")</f>
        <v>2.1453580652892802E-2</v>
      </c>
      <c r="H10" s="72">
        <f>IFERROR((D10/E10)*(F10^(2/3))*(G10^(1/2)),"")</f>
        <v>12.27192864288733</v>
      </c>
      <c r="I10" s="73">
        <f>IFERROR(B10/H10,"")</f>
        <v>48.61803041413576</v>
      </c>
      <c r="J10" s="34">
        <f>IF(I10="","",I10/60)</f>
        <v>0.81030050690226263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170.7</v>
      </c>
      <c r="C12" s="83">
        <v>10.3</v>
      </c>
      <c r="D12" s="65">
        <v>1.1100000000000001</v>
      </c>
      <c r="E12" s="9">
        <v>1.2999999999999999E-2</v>
      </c>
      <c r="F12" s="9">
        <v>12</v>
      </c>
      <c r="G12" s="48">
        <v>0.04</v>
      </c>
      <c r="H12" s="75">
        <f>IFERROR(C12/B12,"")</f>
        <v>6.0339777387229065E-2</v>
      </c>
      <c r="I12" s="68">
        <f>IFERROR((D12/E12)*(G12^0.67)*(H12^0.5)*(F12^0.67),"")</f>
        <v>12.826645953275351</v>
      </c>
      <c r="J12" s="76">
        <f>IF(I12="","",B12/I12)</f>
        <v>13.308233549270989</v>
      </c>
      <c r="K12" s="10">
        <f>IF(J12="","",J12/60)</f>
        <v>0.22180389248784982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2.5863178358395578</v>
      </c>
      <c r="C14" s="63">
        <f>I8</f>
        <v>3.1723285356844517</v>
      </c>
      <c r="D14" s="63">
        <f>J10</f>
        <v>0.81030050690226263</v>
      </c>
      <c r="E14" s="63">
        <f>K12</f>
        <v>0.22180389248784982</v>
      </c>
      <c r="F14" s="24">
        <f>SUM(B14:E14)</f>
        <v>6.7907507709141228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0.35</v>
      </c>
      <c r="C16" s="39">
        <v>5.2</v>
      </c>
      <c r="D16" s="31">
        <f>C4</f>
        <v>1.7</v>
      </c>
      <c r="E16" s="22">
        <f>IFERROR(B16*C16*D16,"")</f>
        <v>3.0939999999999999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0.35</v>
      </c>
      <c r="C18" s="41">
        <v>6.4</v>
      </c>
      <c r="D18" s="37">
        <f>C4</f>
        <v>1.7</v>
      </c>
      <c r="E18" s="27">
        <f>IFERROR(B18*C18*D18,"")</f>
        <v>3.8079999999999994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7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6.8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116</v>
      </c>
      <c r="B4" s="51">
        <v>0</v>
      </c>
      <c r="C4" s="35">
        <v>0.1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0.85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0.7</v>
      </c>
      <c r="D6" s="65">
        <f>IFERROR(C6/B6,"")</f>
        <v>3.4999999999999996E-2</v>
      </c>
      <c r="E6" s="65">
        <v>0.93300000000000005</v>
      </c>
      <c r="F6" s="49">
        <v>0.15</v>
      </c>
      <c r="G6" s="81">
        <v>8.1999999999999993</v>
      </c>
      <c r="H6" s="10">
        <f>IFERROR((E6/(G6^0.4))*(((F6*B6)/(D6^0.5))^0.6),"")</f>
        <v>2.1252422557953925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33.799999999999997</v>
      </c>
      <c r="C8" s="83">
        <v>3.6</v>
      </c>
      <c r="D8" s="67">
        <v>0.93300000000000005</v>
      </c>
      <c r="E8" s="20">
        <v>0.61899999999999999</v>
      </c>
      <c r="F8" s="72">
        <f>IFERROR((C8/B8)*100,"")</f>
        <v>10.650887573964498</v>
      </c>
      <c r="G8" s="72">
        <f>IFERROR((F8^0.5)*E8*D8,"")</f>
        <v>1.8847996523922612</v>
      </c>
      <c r="H8" s="73">
        <f>IFERROR(B8/G8,"")</f>
        <v>17.932940488979675</v>
      </c>
      <c r="I8" s="34">
        <f>IFERROR(H8/60,"")</f>
        <v>0.29888234148299458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508.37299999999999</v>
      </c>
      <c r="C10" s="83">
        <v>6.9</v>
      </c>
      <c r="D10" s="67">
        <v>1.49</v>
      </c>
      <c r="E10" s="20">
        <v>1.2999999999999999E-2</v>
      </c>
      <c r="F10" s="79">
        <v>0.625</v>
      </c>
      <c r="G10" s="80">
        <f>IFERROR(C10/B10,"")</f>
        <v>1.3572711375309075E-2</v>
      </c>
      <c r="H10" s="72">
        <f>IFERROR((D10/E10)*(F10^(2/3))*(G10^(1/2)),"")</f>
        <v>9.761043194456299</v>
      </c>
      <c r="I10" s="73">
        <f>IFERROR(B10/H10,"")</f>
        <v>52.081830791275067</v>
      </c>
      <c r="J10" s="34">
        <f>IF(I10="","",I10/60)</f>
        <v>0.8680305131879178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62.9</v>
      </c>
      <c r="C12" s="83">
        <v>4.2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6.6772655007949128E-2</v>
      </c>
      <c r="I12" s="68">
        <f>IFERROR((D12/E12)*(G12^0.67)*(H12^0.5)*(F12^0.67),"")</f>
        <v>15.668964142957618</v>
      </c>
      <c r="J12" s="76">
        <f>IF(I12="","",B12/I12)</f>
        <v>4.0143049295489179</v>
      </c>
      <c r="K12" s="10">
        <f>IF(J12="","",J12/60)</f>
        <v>6.6905082159148629E-2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2.1252422557953925</v>
      </c>
      <c r="C14" s="63">
        <f>I8</f>
        <v>0.29888234148299458</v>
      </c>
      <c r="D14" s="63">
        <f>J10</f>
        <v>0.8680305131879178</v>
      </c>
      <c r="E14" s="63">
        <f>K12</f>
        <v>6.6905082159148629E-2</v>
      </c>
      <c r="F14" s="24">
        <f>SUM(B14:E14)</f>
        <v>3.3590601926254533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0.85</v>
      </c>
      <c r="C16" s="39">
        <v>6.4</v>
      </c>
      <c r="D16" s="31">
        <f>C4</f>
        <v>0.1</v>
      </c>
      <c r="E16" s="22">
        <f>IFERROR(B16*C16*D16,"")</f>
        <v>0.54400000000000004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0.85</v>
      </c>
      <c r="C18" s="41">
        <v>8.1999999999999993</v>
      </c>
      <c r="D18" s="37">
        <f>C4</f>
        <v>0.1</v>
      </c>
      <c r="E18" s="27">
        <f>IFERROR(B18*C18*D18,"")</f>
        <v>0.69699999999999995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5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5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G6" sqref="G6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117</v>
      </c>
      <c r="B4" s="51">
        <v>0</v>
      </c>
      <c r="C4" s="35">
        <v>1.5</v>
      </c>
      <c r="D4" s="51">
        <v>0</v>
      </c>
      <c r="E4" s="68">
        <f>D4/43560</f>
        <v>0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0.35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3.9</v>
      </c>
      <c r="D6" s="65">
        <f>IFERROR(C6/B6,"")</f>
        <v>0.19500000000000001</v>
      </c>
      <c r="E6" s="65">
        <v>0.93300000000000005</v>
      </c>
      <c r="F6" s="49">
        <v>0.4</v>
      </c>
      <c r="G6" s="81">
        <v>6.1</v>
      </c>
      <c r="H6" s="10">
        <f>IFERROR((E6/(G6^0.4))*(((F6*B6)/(D6^0.5))^0.6),"")</f>
        <v>2.5739097709200651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396.7</v>
      </c>
      <c r="C8" s="83">
        <v>49.4</v>
      </c>
      <c r="D8" s="67">
        <v>0.93300000000000005</v>
      </c>
      <c r="E8" s="20">
        <v>0.49099999999999999</v>
      </c>
      <c r="F8" s="72">
        <f>IFERROR((C8/B8)*100,"")</f>
        <v>12.452735064280313</v>
      </c>
      <c r="G8" s="72">
        <f>IFERROR((F8^0.5)*E8*D8,"")</f>
        <v>1.6165737040984574</v>
      </c>
      <c r="H8" s="73">
        <f>IFERROR(B8/G8,"")</f>
        <v>245.39555418615109</v>
      </c>
      <c r="I8" s="34">
        <f>IFERROR(H8/60,"")</f>
        <v>4.0899259031025181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594.83900000000006</v>
      </c>
      <c r="C10" s="83">
        <v>12.6</v>
      </c>
      <c r="D10" s="67">
        <v>1.49</v>
      </c>
      <c r="E10" s="20">
        <v>1.2999999999999999E-2</v>
      </c>
      <c r="F10" s="79">
        <v>0.625</v>
      </c>
      <c r="G10" s="80">
        <f>IFERROR(C10/B10,"")</f>
        <v>2.1182202242959858E-2</v>
      </c>
      <c r="H10" s="72">
        <f>IFERROR((D10/E10)*(F10^(2/3))*(G10^(1/2)),"")</f>
        <v>12.194064357580144</v>
      </c>
      <c r="I10" s="73">
        <f>IFERROR(B10/H10,"")</f>
        <v>48.781028421441192</v>
      </c>
      <c r="J10" s="34">
        <f>IF(I10="","",I10/60)</f>
        <v>0.81301714035735317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160.69999999999999</v>
      </c>
      <c r="C12" s="83">
        <v>10</v>
      </c>
      <c r="D12" s="65">
        <v>1.1100000000000001</v>
      </c>
      <c r="E12" s="9">
        <v>1.2999999999999999E-2</v>
      </c>
      <c r="F12" s="9">
        <v>12</v>
      </c>
      <c r="G12" s="48">
        <v>0.04</v>
      </c>
      <c r="H12" s="75">
        <f>IFERROR(C12/B12,"")</f>
        <v>6.2227753578095832E-2</v>
      </c>
      <c r="I12" s="68">
        <f>IFERROR((D12/E12)*(G12^0.67)*(H12^0.5)*(F12^0.67),"")</f>
        <v>13.02576735175416</v>
      </c>
      <c r="J12" s="76">
        <f>IF(I12="","",B12/I12)</f>
        <v>12.337085076094098</v>
      </c>
      <c r="K12" s="10">
        <f>IF(J12="","",J12/60)</f>
        <v>0.2056180846015683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2.5739097709200651</v>
      </c>
      <c r="C14" s="63">
        <f>I8</f>
        <v>4.0899259031025181</v>
      </c>
      <c r="D14" s="63">
        <f>J10</f>
        <v>0.81301714035735317</v>
      </c>
      <c r="E14" s="63">
        <f>K12</f>
        <v>0.2056180846015683</v>
      </c>
      <c r="F14" s="24">
        <f>SUM(B14:E14)</f>
        <v>7.6824708989815056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0.35</v>
      </c>
      <c r="C16" s="39">
        <v>4.9000000000000004</v>
      </c>
      <c r="D16" s="31">
        <f>C4</f>
        <v>1.5</v>
      </c>
      <c r="E16" s="22">
        <f>IFERROR(B16*C16*D16,"")</f>
        <v>2.5725000000000002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0.35</v>
      </c>
      <c r="C18" s="41">
        <v>6.1</v>
      </c>
      <c r="D18" s="37">
        <f>C4</f>
        <v>1.5</v>
      </c>
      <c r="E18" s="27">
        <f>IFERROR(B18*C18*D18,"")</f>
        <v>3.2024999999999997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7.9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7.7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J5" sqref="J5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118</v>
      </c>
      <c r="B4" s="51">
        <v>0</v>
      </c>
      <c r="C4" s="35">
        <v>0.1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0.85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1.2</v>
      </c>
      <c r="D6" s="65">
        <f>IFERROR(C6/B6,"")</f>
        <v>0.06</v>
      </c>
      <c r="E6" s="65">
        <v>0.93300000000000005</v>
      </c>
      <c r="F6" s="49">
        <v>1.2999999999999999E-2</v>
      </c>
      <c r="G6" s="81">
        <v>8.9</v>
      </c>
      <c r="H6" s="10">
        <f>IFERROR((E6/(G6^0.4))*(((F6*B6)/(D6^0.5))^0.6),"")</f>
        <v>0.40333348114594175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24.3</v>
      </c>
      <c r="C8" s="83">
        <v>1.7</v>
      </c>
      <c r="D8" s="67">
        <v>0.93300000000000005</v>
      </c>
      <c r="E8" s="20">
        <v>0.61899999999999999</v>
      </c>
      <c r="F8" s="72">
        <f>IFERROR((C8/B8)*100,"")</f>
        <v>6.9958847736625511</v>
      </c>
      <c r="G8" s="72">
        <f>IFERROR((F8^0.5)*E8*D8,"")</f>
        <v>1.5275436059448395</v>
      </c>
      <c r="H8" s="73">
        <f>IFERROR(B8/G8,"")</f>
        <v>15.907892845369606</v>
      </c>
      <c r="I8" s="34">
        <f>IFERROR(H8/60,"")</f>
        <v>0.26513154742282674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506.63499999999999</v>
      </c>
      <c r="C10" s="83">
        <v>6.8</v>
      </c>
      <c r="D10" s="67">
        <v>1.49</v>
      </c>
      <c r="E10" s="20">
        <v>1.2999999999999999E-2</v>
      </c>
      <c r="F10" s="79">
        <v>0.625</v>
      </c>
      <c r="G10" s="80">
        <f>IFERROR(C10/B10,"")</f>
        <v>1.3421891499797684E-2</v>
      </c>
      <c r="H10" s="72">
        <f>IFERROR((D10/E10)*(F10^(2/3))*(G10^(1/2)),"")</f>
        <v>9.7066593718049052</v>
      </c>
      <c r="I10" s="73">
        <f>IFERROR(B10/H10,"")</f>
        <v>52.194579061013627</v>
      </c>
      <c r="J10" s="34">
        <f>IF(I10="","",I10/60)</f>
        <v>0.86990965101689377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55.9</v>
      </c>
      <c r="C12" s="83">
        <v>4.0999999999999996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7.3345259391771014E-2</v>
      </c>
      <c r="I12" s="68">
        <f>IFERROR((D12/E12)*(G12^0.67)*(H12^0.5)*(F12^0.67),"")</f>
        <v>16.422035576817596</v>
      </c>
      <c r="J12" s="76">
        <f>IF(I12="","",B12/I12)</f>
        <v>3.4039629093796413</v>
      </c>
      <c r="K12" s="10">
        <f>IF(J12="","",J12/60)</f>
        <v>5.6732715156327357E-2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0.40333348114594175</v>
      </c>
      <c r="C14" s="63">
        <f>I8</f>
        <v>0.26513154742282674</v>
      </c>
      <c r="D14" s="63">
        <f>J10</f>
        <v>0.86990965101689377</v>
      </c>
      <c r="E14" s="63">
        <f>K12</f>
        <v>5.6732715156327357E-2</v>
      </c>
      <c r="F14" s="24">
        <f>SUM(B14:E14)</f>
        <v>1.5951073947419896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0.85</v>
      </c>
      <c r="C16" s="39">
        <v>7.1</v>
      </c>
      <c r="D16" s="31">
        <f>C4</f>
        <v>0.1</v>
      </c>
      <c r="E16" s="22">
        <f>IFERROR(B16*C16*D16,"")</f>
        <v>0.60349999999999993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0.85</v>
      </c>
      <c r="C18" s="41">
        <v>8.9</v>
      </c>
      <c r="D18" s="37">
        <f>C4</f>
        <v>0.1</v>
      </c>
      <c r="E18" s="27">
        <f>IFERROR(B18*C18*D18,"")</f>
        <v>0.75650000000000006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5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5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A5" sqref="A5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119</v>
      </c>
      <c r="B4" s="51">
        <v>0</v>
      </c>
      <c r="C4" s="35">
        <v>0.5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0.85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0.8</v>
      </c>
      <c r="D6" s="65">
        <f>IFERROR(C6/B6,"")</f>
        <v>0.04</v>
      </c>
      <c r="E6" s="65">
        <v>0.93300000000000005</v>
      </c>
      <c r="F6" s="49">
        <v>1.2999999999999999E-2</v>
      </c>
      <c r="G6" s="81">
        <v>8.8000000000000007</v>
      </c>
      <c r="H6" s="10">
        <f>IFERROR((E6/(G6^0.4))*(((F6*B6)/(D6^0.5))^0.6),"")</f>
        <v>0.45756688508372828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7.56</v>
      </c>
      <c r="C8" s="83">
        <v>0.22</v>
      </c>
      <c r="D8" s="67">
        <v>0.93300000000000005</v>
      </c>
      <c r="E8" s="20">
        <v>0.61899999999999999</v>
      </c>
      <c r="F8" s="72">
        <f>IFERROR((C8/B8)*100,"")</f>
        <v>2.9100529100529102</v>
      </c>
      <c r="G8" s="72">
        <f>IFERROR((F8^0.5)*E8*D8,"")</f>
        <v>0.98519621672779567</v>
      </c>
      <c r="H8" s="73">
        <f>IFERROR(B8/G8,"")</f>
        <v>7.6735982859430596</v>
      </c>
      <c r="I8" s="34">
        <f>IFERROR(H8/60,"")</f>
        <v>0.12789330476571767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134.029</v>
      </c>
      <c r="C10" s="83">
        <v>1.5</v>
      </c>
      <c r="D10" s="67">
        <v>1.49</v>
      </c>
      <c r="E10" s="20">
        <v>1.2999999999999999E-2</v>
      </c>
      <c r="F10" s="79">
        <v>0.625</v>
      </c>
      <c r="G10" s="80">
        <f>IFERROR(C10/B10,"")</f>
        <v>1.1191607786374591E-2</v>
      </c>
      <c r="H10" s="72">
        <f>IFERROR((D10/E10)*(F10^(2/3))*(G10^(1/2)),"")</f>
        <v>8.8635799935075656</v>
      </c>
      <c r="I10" s="73">
        <f>IFERROR(B10/H10,"")</f>
        <v>15.121316679961613</v>
      </c>
      <c r="J10" s="34">
        <f>IF(I10="","",I10/60)</f>
        <v>0.2520219446660269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380.7</v>
      </c>
      <c r="C12" s="83">
        <v>5.3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1.3921723141581297E-2</v>
      </c>
      <c r="I12" s="68">
        <f>IFERROR((D12/E12)*(G12^0.67)*(H12^0.5)*(F12^0.67),"")</f>
        <v>7.154634635662223</v>
      </c>
      <c r="J12" s="76">
        <f>IF(I12="","",B12/I12)</f>
        <v>53.210264309291723</v>
      </c>
      <c r="K12" s="10">
        <f>IF(J12="","",J12/60)</f>
        <v>0.88683773848819536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0.45756688508372828</v>
      </c>
      <c r="C14" s="63">
        <f>I8</f>
        <v>0.12789330476571767</v>
      </c>
      <c r="D14" s="63">
        <f>J10</f>
        <v>0.2520219446660269</v>
      </c>
      <c r="E14" s="63">
        <f>K12</f>
        <v>0.88683773848819536</v>
      </c>
      <c r="F14" s="24">
        <f>SUM(B14:E14)</f>
        <v>1.7243198730036682</v>
      </c>
      <c r="G14" s="84" t="str">
        <f>IF(F14&lt;5,"Tc less than 5 Minutes","")</f>
        <v>Tc less than 5 Minutes</v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0.85</v>
      </c>
      <c r="C16" s="39">
        <v>7</v>
      </c>
      <c r="D16" s="31">
        <f>C4</f>
        <v>0.5</v>
      </c>
      <c r="E16" s="22">
        <f>IFERROR(B16*C16*D16,"")</f>
        <v>2.9750000000000001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0.85</v>
      </c>
      <c r="C18" s="41">
        <v>8.8000000000000007</v>
      </c>
      <c r="D18" s="37">
        <f>C4</f>
        <v>0.5</v>
      </c>
      <c r="E18" s="27">
        <f>IFERROR(B18*C18*D18,"")</f>
        <v>3.74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5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5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A5" sqref="A5"/>
    </sheetView>
  </sheetViews>
  <sheetFormatPr defaultColWidth="9.140625" defaultRowHeight="12.75" x14ac:dyDescent="0.2"/>
  <cols>
    <col min="1" max="1" width="22.7109375" style="5" customWidth="1"/>
    <col min="2" max="2" width="13.140625" style="5" customWidth="1"/>
    <col min="3" max="3" width="12.5703125" style="5" customWidth="1"/>
    <col min="4" max="4" width="17.7109375" style="5" customWidth="1"/>
    <col min="5" max="5" width="15.42578125" style="5" customWidth="1"/>
    <col min="6" max="6" width="12.85546875" style="5" bestFit="1" customWidth="1"/>
    <col min="7" max="7" width="14.7109375" style="5" customWidth="1"/>
    <col min="8" max="8" width="13.5703125" style="5" bestFit="1" customWidth="1"/>
    <col min="9" max="9" width="13.28515625" style="5" customWidth="1"/>
    <col min="10" max="11" width="9.140625" style="5"/>
    <col min="12" max="12" width="9.140625" style="5" customWidth="1"/>
    <col min="13" max="16384" width="9.140625" style="5"/>
  </cols>
  <sheetData>
    <row r="1" spans="1:11" ht="15.75" x14ac:dyDescent="0.25">
      <c r="A1" s="77" t="s">
        <v>74</v>
      </c>
    </row>
    <row r="2" spans="1:11" ht="13.5" thickBot="1" x14ac:dyDescent="0.25"/>
    <row r="3" spans="1:11" ht="27" thickTop="1" x14ac:dyDescent="0.25">
      <c r="A3" s="15" t="s">
        <v>0</v>
      </c>
      <c r="B3" s="16" t="s">
        <v>36</v>
      </c>
      <c r="C3" s="30" t="s">
        <v>1</v>
      </c>
      <c r="D3" s="16" t="s">
        <v>35</v>
      </c>
      <c r="E3" s="64" t="s">
        <v>2</v>
      </c>
      <c r="F3" s="66" t="s">
        <v>3</v>
      </c>
      <c r="G3" s="64" t="s">
        <v>11</v>
      </c>
      <c r="H3" s="56" t="s">
        <v>32</v>
      </c>
      <c r="I3" s="56" t="s">
        <v>12</v>
      </c>
      <c r="J3" s="56" t="s">
        <v>33</v>
      </c>
      <c r="K3" s="23"/>
    </row>
    <row r="4" spans="1:11" ht="13.5" thickBot="1" x14ac:dyDescent="0.25">
      <c r="A4" s="29" t="s">
        <v>120</v>
      </c>
      <c r="B4" s="51">
        <v>0</v>
      </c>
      <c r="C4" s="35">
        <v>9.1</v>
      </c>
      <c r="D4" s="51">
        <v>100</v>
      </c>
      <c r="E4" s="68">
        <f>D4/43560</f>
        <v>2.295684113865932E-3</v>
      </c>
      <c r="F4" s="69" t="str">
        <f>IFERROR(D4/B4,"")</f>
        <v/>
      </c>
      <c r="G4" s="69" t="str">
        <f>IFERROR(1-F4,"")</f>
        <v/>
      </c>
      <c r="H4" s="58"/>
      <c r="I4" s="58" t="str">
        <f>IF(F41=0,"",F41)</f>
        <v/>
      </c>
      <c r="J4" s="57">
        <v>0.35</v>
      </c>
      <c r="K4" s="19"/>
    </row>
    <row r="5" spans="1:11" ht="28.5" thickTop="1" x14ac:dyDescent="0.25">
      <c r="A5" s="15" t="s">
        <v>14</v>
      </c>
      <c r="B5" s="16" t="s">
        <v>42</v>
      </c>
      <c r="C5" s="16" t="s">
        <v>43</v>
      </c>
      <c r="D5" s="64" t="s">
        <v>44</v>
      </c>
      <c r="E5" s="66" t="s">
        <v>73</v>
      </c>
      <c r="F5" s="15" t="s">
        <v>16</v>
      </c>
      <c r="G5" s="45" t="s">
        <v>45</v>
      </c>
      <c r="H5" s="17" t="s">
        <v>46</v>
      </c>
      <c r="I5" s="18"/>
      <c r="J5" s="18"/>
    </row>
    <row r="6" spans="1:11" ht="17.25" thickBot="1" x14ac:dyDescent="0.3">
      <c r="A6" s="8" t="s">
        <v>27</v>
      </c>
      <c r="B6" s="51">
        <v>20</v>
      </c>
      <c r="C6" s="49">
        <v>5.6</v>
      </c>
      <c r="D6" s="65">
        <f>IFERROR(C6/B6,"")</f>
        <v>0.27999999999999997</v>
      </c>
      <c r="E6" s="65">
        <v>0.93300000000000005</v>
      </c>
      <c r="F6" s="49">
        <v>0.3</v>
      </c>
      <c r="G6" s="81">
        <v>5.2</v>
      </c>
      <c r="H6" s="10">
        <f>IFERROR((E6/(G6^0.4))*(((F6*B6)/(D6^0.5))^0.6),"")</f>
        <v>2.0712076768254022</v>
      </c>
      <c r="I6" s="9"/>
      <c r="J6" s="9"/>
    </row>
    <row r="7" spans="1:11" ht="39.75" thickTop="1" x14ac:dyDescent="0.25">
      <c r="A7" s="15" t="s">
        <v>15</v>
      </c>
      <c r="B7" s="16" t="s">
        <v>42</v>
      </c>
      <c r="C7" s="16" t="s">
        <v>43</v>
      </c>
      <c r="D7" s="66" t="s">
        <v>73</v>
      </c>
      <c r="E7" s="16" t="s">
        <v>28</v>
      </c>
      <c r="F7" s="64" t="s">
        <v>55</v>
      </c>
      <c r="G7" s="64" t="s">
        <v>30</v>
      </c>
      <c r="H7" s="71" t="s">
        <v>56</v>
      </c>
      <c r="I7" s="17" t="s">
        <v>31</v>
      </c>
      <c r="J7" s="21"/>
      <c r="K7" s="23"/>
    </row>
    <row r="8" spans="1:11" ht="17.25" thickBot="1" x14ac:dyDescent="0.3">
      <c r="A8" s="19" t="s">
        <v>29</v>
      </c>
      <c r="B8" s="20">
        <v>704.8</v>
      </c>
      <c r="C8" s="83">
        <v>88.1</v>
      </c>
      <c r="D8" s="67">
        <v>0.93300000000000005</v>
      </c>
      <c r="E8" s="20">
        <v>0.49099999999999999</v>
      </c>
      <c r="F8" s="72">
        <f>IFERROR((C8/B8)*100,"")</f>
        <v>12.5</v>
      </c>
      <c r="G8" s="72">
        <f>IFERROR((F8^0.5)*E8*D8,"")</f>
        <v>1.6196386889095051</v>
      </c>
      <c r="H8" s="73">
        <f>IFERROR(B8/G8,"")</f>
        <v>435.15878252731687</v>
      </c>
      <c r="I8" s="34">
        <f>IFERROR(H8/60,"")</f>
        <v>7.2526463754552815</v>
      </c>
      <c r="J8" s="20"/>
      <c r="K8" s="19"/>
    </row>
    <row r="9" spans="1:11" ht="39.75" thickTop="1" x14ac:dyDescent="0.25">
      <c r="A9" s="12" t="s">
        <v>84</v>
      </c>
      <c r="B9" s="13" t="s">
        <v>42</v>
      </c>
      <c r="C9" s="16" t="s">
        <v>43</v>
      </c>
      <c r="D9" s="65" t="s">
        <v>72</v>
      </c>
      <c r="E9" s="13" t="s">
        <v>34</v>
      </c>
      <c r="F9" s="13" t="s">
        <v>90</v>
      </c>
      <c r="G9" s="74" t="s">
        <v>57</v>
      </c>
      <c r="H9" s="74" t="s">
        <v>58</v>
      </c>
      <c r="I9" s="74" t="s">
        <v>86</v>
      </c>
      <c r="J9" s="14" t="s">
        <v>87</v>
      </c>
    </row>
    <row r="10" spans="1:11" ht="17.25" thickBot="1" x14ac:dyDescent="0.3">
      <c r="A10" s="78" t="s">
        <v>85</v>
      </c>
      <c r="B10" s="20">
        <v>106.053</v>
      </c>
      <c r="C10" s="83">
        <v>0.4</v>
      </c>
      <c r="D10" s="67">
        <v>1.49</v>
      </c>
      <c r="E10" s="20">
        <v>1.2999999999999999E-2</v>
      </c>
      <c r="F10" s="79">
        <v>0.625</v>
      </c>
      <c r="G10" s="80">
        <f>IFERROR(C10/B10,"")</f>
        <v>3.7716990561323114E-3</v>
      </c>
      <c r="H10" s="72">
        <f>IFERROR((D10/E10)*(F10^(2/3))*(G10^(1/2)),"")</f>
        <v>5.1455457531637254</v>
      </c>
      <c r="I10" s="73">
        <f>IFERROR(B10/H10,"")</f>
        <v>20.610641725378418</v>
      </c>
      <c r="J10" s="34">
        <f>IF(I10="","",I10/60)</f>
        <v>0.34351069542297363</v>
      </c>
      <c r="K10" s="19"/>
    </row>
    <row r="11" spans="1:11" ht="39.75" thickTop="1" x14ac:dyDescent="0.25">
      <c r="A11" s="12" t="s">
        <v>20</v>
      </c>
      <c r="B11" s="13" t="s">
        <v>42</v>
      </c>
      <c r="C11" s="13" t="s">
        <v>43</v>
      </c>
      <c r="D11" s="65" t="s">
        <v>72</v>
      </c>
      <c r="E11" s="13" t="s">
        <v>34</v>
      </c>
      <c r="F11" s="13" t="s">
        <v>19</v>
      </c>
      <c r="G11" s="13" t="s">
        <v>48</v>
      </c>
      <c r="H11" s="74" t="s">
        <v>57</v>
      </c>
      <c r="I11" s="74" t="s">
        <v>58</v>
      </c>
      <c r="J11" s="74" t="s">
        <v>59</v>
      </c>
      <c r="K11" s="14" t="s">
        <v>47</v>
      </c>
    </row>
    <row r="12" spans="1:11" ht="17.25" thickBot="1" x14ac:dyDescent="0.3">
      <c r="A12" s="47" t="s">
        <v>21</v>
      </c>
      <c r="B12" s="9">
        <v>111.2</v>
      </c>
      <c r="C12" s="83">
        <v>0.4</v>
      </c>
      <c r="D12" s="65">
        <v>1.1100000000000001</v>
      </c>
      <c r="E12" s="9">
        <v>1.2999999999999999E-2</v>
      </c>
      <c r="F12" s="9">
        <v>12</v>
      </c>
      <c r="G12" s="48">
        <v>0.05</v>
      </c>
      <c r="H12" s="75">
        <f>IFERROR(C12/B12,"")</f>
        <v>3.5971223021582736E-3</v>
      </c>
      <c r="I12" s="68">
        <f>IFERROR((D12/E12)*(G12^0.67)*(H12^0.5)*(F12^0.67),"")</f>
        <v>3.6367928644605438</v>
      </c>
      <c r="J12" s="76">
        <f>IF(I12="","",B12/I12)</f>
        <v>30.576390832337005</v>
      </c>
      <c r="K12" s="10">
        <f>IF(J12="","",J12/60)</f>
        <v>0.5096065138722834</v>
      </c>
    </row>
    <row r="13" spans="1:11" ht="27.75" thickTop="1" x14ac:dyDescent="0.2">
      <c r="A13" s="15" t="s">
        <v>38</v>
      </c>
      <c r="B13" s="62" t="s">
        <v>60</v>
      </c>
      <c r="C13" s="62" t="s">
        <v>61</v>
      </c>
      <c r="D13" s="62" t="s">
        <v>89</v>
      </c>
      <c r="E13" s="62" t="s">
        <v>62</v>
      </c>
      <c r="F13" s="17" t="s">
        <v>50</v>
      </c>
      <c r="G13" s="61"/>
      <c r="H13" s="46" t="s">
        <v>51</v>
      </c>
      <c r="I13" s="23"/>
      <c r="J13" s="23"/>
      <c r="K13" s="23"/>
    </row>
    <row r="14" spans="1:11" ht="15" thickBot="1" x14ac:dyDescent="0.3">
      <c r="A14" s="19" t="s">
        <v>37</v>
      </c>
      <c r="B14" s="63">
        <f>H6</f>
        <v>2.0712076768254022</v>
      </c>
      <c r="C14" s="63">
        <f>I8</f>
        <v>7.2526463754552815</v>
      </c>
      <c r="D14" s="63">
        <f>J10</f>
        <v>0.34351069542297363</v>
      </c>
      <c r="E14" s="63">
        <f>K12</f>
        <v>0.5096065138722834</v>
      </c>
      <c r="F14" s="24">
        <f>SUM(B14:E14)</f>
        <v>10.176971261575941</v>
      </c>
      <c r="G14" s="84" t="str">
        <f>IF(F14&lt;5,"Tc less than 5 Minutes","")</f>
        <v/>
      </c>
      <c r="H14" s="19"/>
      <c r="I14" s="19"/>
      <c r="J14" s="19"/>
      <c r="K14" s="19"/>
    </row>
    <row r="15" spans="1:11" ht="15" thickTop="1" x14ac:dyDescent="0.25">
      <c r="A15" s="12" t="s">
        <v>39</v>
      </c>
      <c r="B15" s="42" t="s">
        <v>10</v>
      </c>
      <c r="C15" s="38" t="s">
        <v>26</v>
      </c>
      <c r="D15" s="35" t="s">
        <v>17</v>
      </c>
      <c r="E15" s="22" t="s">
        <v>24</v>
      </c>
      <c r="F15" s="22"/>
      <c r="G15" s="9"/>
      <c r="H15" s="9"/>
      <c r="I15" s="8"/>
      <c r="J15" s="8"/>
      <c r="K15" s="23"/>
    </row>
    <row r="16" spans="1:11" ht="15" thickBot="1" x14ac:dyDescent="0.3">
      <c r="A16" s="8" t="s">
        <v>22</v>
      </c>
      <c r="B16" s="33">
        <f>J4</f>
        <v>0.35</v>
      </c>
      <c r="C16" s="39">
        <v>4.5</v>
      </c>
      <c r="D16" s="31">
        <f>C4</f>
        <v>9.1</v>
      </c>
      <c r="E16" s="22">
        <f>IFERROR(B16*C16*D16,"")</f>
        <v>14.3325</v>
      </c>
      <c r="F16" s="25" t="s">
        <v>18</v>
      </c>
      <c r="G16" s="9"/>
      <c r="H16" s="9"/>
      <c r="I16" s="8"/>
      <c r="J16" s="8"/>
      <c r="K16" s="19"/>
    </row>
    <row r="17" spans="1:11" ht="15" thickTop="1" x14ac:dyDescent="0.25">
      <c r="A17" s="15" t="s">
        <v>40</v>
      </c>
      <c r="B17" s="32" t="s">
        <v>10</v>
      </c>
      <c r="C17" s="40" t="s">
        <v>41</v>
      </c>
      <c r="D17" s="36" t="s">
        <v>17</v>
      </c>
      <c r="E17" s="26" t="s">
        <v>25</v>
      </c>
      <c r="F17" s="26"/>
      <c r="G17" s="21"/>
      <c r="H17" s="21"/>
      <c r="I17" s="23"/>
      <c r="J17" s="23"/>
      <c r="K17" s="23"/>
    </row>
    <row r="18" spans="1:11" ht="15" thickBot="1" x14ac:dyDescent="0.3">
      <c r="A18" s="19" t="s">
        <v>23</v>
      </c>
      <c r="B18" s="43">
        <f>J4</f>
        <v>0.35</v>
      </c>
      <c r="C18" s="41">
        <v>5.2</v>
      </c>
      <c r="D18" s="37">
        <f>C4</f>
        <v>9.1</v>
      </c>
      <c r="E18" s="27">
        <f>IFERROR(B18*C18*D18,"")</f>
        <v>16.561999999999998</v>
      </c>
      <c r="F18" s="28" t="s">
        <v>18</v>
      </c>
      <c r="G18" s="20"/>
      <c r="H18" s="20"/>
      <c r="I18" s="19"/>
      <c r="J18" s="19"/>
      <c r="K18" s="19"/>
    </row>
    <row r="19" spans="1:11" ht="27.75" thickTop="1" x14ac:dyDescent="0.2">
      <c r="A19" s="8"/>
      <c r="B19" s="49"/>
      <c r="C19" s="17" t="s">
        <v>91</v>
      </c>
      <c r="D19" s="85"/>
      <c r="E19" s="86"/>
      <c r="F19" s="87"/>
      <c r="G19" s="9"/>
      <c r="H19" s="9"/>
      <c r="I19" s="8"/>
      <c r="J19" s="8"/>
      <c r="K19" s="8"/>
    </row>
    <row r="20" spans="1:11" ht="13.5" thickBot="1" x14ac:dyDescent="0.25">
      <c r="C20" s="24">
        <v>10.3</v>
      </c>
    </row>
    <row r="21" spans="1:11" ht="27.75" thickTop="1" x14ac:dyDescent="0.2">
      <c r="C21" s="17" t="s">
        <v>92</v>
      </c>
    </row>
    <row r="22" spans="1:11" ht="13.5" thickBot="1" x14ac:dyDescent="0.25">
      <c r="C22" s="24">
        <v>10.199999999999999</v>
      </c>
    </row>
    <row r="23" spans="1:11" ht="13.5" thickTop="1" x14ac:dyDescent="0.2">
      <c r="A23" s="11" t="s">
        <v>65</v>
      </c>
      <c r="G23" s="82" t="s">
        <v>52</v>
      </c>
    </row>
    <row r="24" spans="1:11" ht="15" x14ac:dyDescent="0.25">
      <c r="A24" s="5" t="s">
        <v>68</v>
      </c>
      <c r="B24" s="92" t="s">
        <v>64</v>
      </c>
      <c r="C24" s="92"/>
      <c r="D24" s="92"/>
      <c r="E24" s="92"/>
    </row>
    <row r="25" spans="1:11" ht="15" x14ac:dyDescent="0.25">
      <c r="A25" s="5" t="s">
        <v>69</v>
      </c>
      <c r="B25" s="92" t="s">
        <v>67</v>
      </c>
      <c r="C25" s="92"/>
      <c r="D25" s="92"/>
      <c r="E25" s="92"/>
      <c r="G25" s="52"/>
      <c r="H25" s="5" t="s">
        <v>54</v>
      </c>
    </row>
    <row r="26" spans="1:11" ht="15" x14ac:dyDescent="0.25">
      <c r="A26" s="5" t="s">
        <v>71</v>
      </c>
      <c r="B26" s="92" t="s">
        <v>70</v>
      </c>
      <c r="C26" s="92"/>
      <c r="D26" s="92"/>
      <c r="E26" s="92"/>
      <c r="G26" s="70"/>
      <c r="H26" s="5" t="s">
        <v>53</v>
      </c>
    </row>
    <row r="27" spans="1:11" ht="15" x14ac:dyDescent="0.25">
      <c r="B27" s="92" t="s">
        <v>79</v>
      </c>
      <c r="C27" s="92"/>
      <c r="D27" s="92"/>
      <c r="E27" s="92"/>
      <c r="F27" s="93"/>
      <c r="G27" s="53"/>
      <c r="H27" s="5" t="s">
        <v>76</v>
      </c>
    </row>
    <row r="28" spans="1:11" x14ac:dyDescent="0.2">
      <c r="B28" s="5" t="s">
        <v>81</v>
      </c>
      <c r="G28" s="54"/>
      <c r="H28" s="5" t="s">
        <v>66</v>
      </c>
    </row>
    <row r="29" spans="1:11" ht="15" x14ac:dyDescent="0.25">
      <c r="A29" s="5" t="s">
        <v>78</v>
      </c>
      <c r="B29" s="92" t="s">
        <v>79</v>
      </c>
      <c r="C29" s="92"/>
      <c r="D29" s="92"/>
      <c r="E29" s="92"/>
      <c r="F29" s="93"/>
      <c r="G29" s="55"/>
      <c r="H29" s="5" t="s">
        <v>75</v>
      </c>
    </row>
    <row r="30" spans="1:11" x14ac:dyDescent="0.2">
      <c r="B30" s="5" t="s">
        <v>80</v>
      </c>
      <c r="G30" s="59"/>
      <c r="H30" s="5" t="s">
        <v>77</v>
      </c>
    </row>
    <row r="31" spans="1:11" ht="14.25" x14ac:dyDescent="0.25">
      <c r="A31" s="5" t="s">
        <v>82</v>
      </c>
      <c r="G31" s="60"/>
      <c r="H31" s="5" t="s">
        <v>63</v>
      </c>
    </row>
    <row r="32" spans="1:11" ht="14.25" x14ac:dyDescent="0.25">
      <c r="A32" s="5" t="s">
        <v>83</v>
      </c>
    </row>
    <row r="33" spans="1:6" ht="14.25" x14ac:dyDescent="0.25">
      <c r="A33" s="5" t="s">
        <v>88</v>
      </c>
    </row>
    <row r="35" spans="1:6" ht="15" customHeight="1" x14ac:dyDescent="0.2">
      <c r="A35" s="11" t="s">
        <v>49</v>
      </c>
    </row>
    <row r="36" spans="1:6" x14ac:dyDescent="0.2">
      <c r="A36" s="44" t="s">
        <v>6</v>
      </c>
      <c r="B36" s="44" t="s">
        <v>7</v>
      </c>
      <c r="C36" s="44" t="s">
        <v>8</v>
      </c>
      <c r="D36" s="44" t="s">
        <v>9</v>
      </c>
      <c r="E36" s="44" t="s">
        <v>10</v>
      </c>
      <c r="F36" s="44" t="s">
        <v>13</v>
      </c>
    </row>
    <row r="37" spans="1:6" x14ac:dyDescent="0.2">
      <c r="A37" s="1"/>
      <c r="B37" s="1"/>
      <c r="C37" s="2"/>
      <c r="D37" s="50"/>
      <c r="E37" s="7"/>
      <c r="F37" s="3">
        <f>D37*E37</f>
        <v>0</v>
      </c>
    </row>
    <row r="38" spans="1:6" x14ac:dyDescent="0.2">
      <c r="A38" s="1"/>
      <c r="B38" s="1"/>
      <c r="C38" s="2"/>
      <c r="D38" s="50"/>
      <c r="E38" s="7"/>
      <c r="F38" s="3">
        <f>D38*E38</f>
        <v>0</v>
      </c>
    </row>
    <row r="39" spans="1:6" x14ac:dyDescent="0.2">
      <c r="A39" s="1"/>
      <c r="B39" s="1"/>
      <c r="C39" s="2"/>
      <c r="D39" s="50"/>
      <c r="E39" s="7"/>
      <c r="F39" s="3">
        <f>D39*E39</f>
        <v>0</v>
      </c>
    </row>
    <row r="40" spans="1:6" x14ac:dyDescent="0.2">
      <c r="A40" s="1"/>
      <c r="B40" s="1"/>
      <c r="C40" s="2"/>
      <c r="D40" s="50"/>
      <c r="E40" s="7"/>
      <c r="F40" s="3">
        <f>D40*E40</f>
        <v>0</v>
      </c>
    </row>
    <row r="41" spans="1:6" ht="14.25" x14ac:dyDescent="0.2">
      <c r="A41" s="90" t="s">
        <v>4</v>
      </c>
      <c r="B41" s="91"/>
      <c r="C41" s="2">
        <f>SUM(C37:C40)</f>
        <v>0</v>
      </c>
      <c r="D41" s="4" t="s">
        <v>5</v>
      </c>
      <c r="E41" s="6" t="s">
        <v>12</v>
      </c>
      <c r="F41" s="4">
        <f>SUM(F37:F40)</f>
        <v>0</v>
      </c>
    </row>
  </sheetData>
  <mergeCells count="6">
    <mergeCell ref="A41:B41"/>
    <mergeCell ref="B24:E24"/>
    <mergeCell ref="B25:E25"/>
    <mergeCell ref="B26:E26"/>
    <mergeCell ref="B27:F27"/>
    <mergeCell ref="B29:F29"/>
  </mergeCells>
  <hyperlinks>
    <hyperlink ref="B24" r:id="rId1"/>
    <hyperlink ref="B25" r:id="rId2"/>
    <hyperlink ref="B26" r:id="rId3"/>
    <hyperlink ref="B29" r:id="rId4"/>
    <hyperlink ref="B27" r:id="rId5"/>
  </hyperlinks>
  <pageMargins left="0.7" right="0.7" top="0.75" bottom="0.75" header="0.3" footer="0.3"/>
  <pageSetup scale="75" orientation="landscape" r:id="rId6"/>
  <rowBreaks count="1" manualBreakCount="1">
    <brk id="42" max="10" man="1"/>
  </rowBreaks>
  <colBreaks count="1" manualBreakCount="1">
    <brk id="11" min="1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Design Notes</vt:lpstr>
      <vt:lpstr>Inlet # E 100A (55)</vt:lpstr>
      <vt:lpstr>Inlet # E 100B (49)</vt:lpstr>
      <vt:lpstr>Inlet # E 200A (48)</vt:lpstr>
      <vt:lpstr>Inlet # E 200B (50)</vt:lpstr>
      <vt:lpstr>Inlet # E 200C (47)</vt:lpstr>
      <vt:lpstr>Inlet # E 200D (51)</vt:lpstr>
      <vt:lpstr>Inlet # P 300A (54)</vt:lpstr>
      <vt:lpstr>Inlet # E 300B (52)</vt:lpstr>
      <vt:lpstr>Inlet # E 500A (46)</vt:lpstr>
      <vt:lpstr>Inlet # E 600A (53)</vt:lpstr>
      <vt:lpstr>DPK CHECK (2)</vt:lpstr>
      <vt:lpstr>Inlet # ___ (56)</vt:lpstr>
      <vt:lpstr>Inlet # ___ (57)</vt:lpstr>
      <vt:lpstr>Inlet # ___ (58)</vt:lpstr>
      <vt:lpstr>Inlet # ___ (59)</vt:lpstr>
      <vt:lpstr>Inlet # ___ (60)</vt:lpstr>
      <vt:lpstr>Inlet # ___ (61)</vt:lpstr>
      <vt:lpstr>Inlet # ___ (62)</vt:lpstr>
      <vt:lpstr>Inlet # ___ (63)</vt:lpstr>
      <vt:lpstr>Inlet # ___ (64)</vt:lpstr>
      <vt:lpstr>'DPK CHECK (2)'!Print_Area</vt:lpstr>
      <vt:lpstr>'Inlet # ___ (56)'!Print_Area</vt:lpstr>
      <vt:lpstr>'Inlet # ___ (57)'!Print_Area</vt:lpstr>
      <vt:lpstr>'Inlet # ___ (58)'!Print_Area</vt:lpstr>
      <vt:lpstr>'Inlet # ___ (59)'!Print_Area</vt:lpstr>
      <vt:lpstr>'Inlet # ___ (60)'!Print_Area</vt:lpstr>
      <vt:lpstr>'Inlet # ___ (61)'!Print_Area</vt:lpstr>
      <vt:lpstr>'Inlet # ___ (62)'!Print_Area</vt:lpstr>
      <vt:lpstr>'Inlet # ___ (63)'!Print_Area</vt:lpstr>
      <vt:lpstr>'Inlet # ___ (64)'!Print_Area</vt:lpstr>
      <vt:lpstr>'Inlet # E 100A (55)'!Print_Area</vt:lpstr>
      <vt:lpstr>'Inlet # E 100B (49)'!Print_Area</vt:lpstr>
      <vt:lpstr>'Inlet # E 200A (48)'!Print_Area</vt:lpstr>
      <vt:lpstr>'Inlet # E 200B (50)'!Print_Area</vt:lpstr>
      <vt:lpstr>'Inlet # E 200C (47)'!Print_Area</vt:lpstr>
      <vt:lpstr>'Inlet # E 200D (51)'!Print_Area</vt:lpstr>
      <vt:lpstr>'Inlet # E 300B (52)'!Print_Area</vt:lpstr>
      <vt:lpstr>'Inlet # E 500A (46)'!Print_Area</vt:lpstr>
      <vt:lpstr>'Inlet # E 600A (53)'!Print_Area</vt:lpstr>
      <vt:lpstr>'Inlet # P 300A (54)'!Print_Area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Dums</dc:creator>
  <cp:lastModifiedBy>KIRST, DOUGLAS P</cp:lastModifiedBy>
  <cp:lastPrinted>2017-12-18T16:36:00Z</cp:lastPrinted>
  <dcterms:created xsi:type="dcterms:W3CDTF">2013-04-24T18:26:36Z</dcterms:created>
  <dcterms:modified xsi:type="dcterms:W3CDTF">2017-12-18T18:39:54Z</dcterms:modified>
</cp:coreProperties>
</file>