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ds\projects\Fond_du_Lac\1440-39-30\PROGRAM LEVEL SCOPING\Traffic\Crash Data\"/>
    </mc:Choice>
  </mc:AlternateContent>
  <bookViews>
    <workbookView xWindow="0" yWindow="0" windowWidth="25308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Y26" i="1"/>
  <c r="W26" i="1"/>
  <c r="Y25" i="1"/>
  <c r="W25" i="1"/>
  <c r="G22" i="1"/>
  <c r="Y17" i="1"/>
  <c r="W17" i="1"/>
  <c r="H17" i="1"/>
  <c r="H18" i="1" s="1"/>
  <c r="Y16" i="1"/>
  <c r="W16" i="1"/>
  <c r="Y15" i="1"/>
  <c r="W15" i="1"/>
  <c r="Y14" i="1"/>
  <c r="W14" i="1"/>
  <c r="Y13" i="1"/>
  <c r="W13" i="1"/>
  <c r="Y12" i="1"/>
  <c r="W12" i="1"/>
  <c r="Y11" i="1"/>
  <c r="W11" i="1"/>
  <c r="Y10" i="1"/>
  <c r="W10" i="1"/>
  <c r="Y9" i="1"/>
  <c r="W9" i="1"/>
  <c r="Y8" i="1"/>
  <c r="W8" i="1"/>
  <c r="Y7" i="1"/>
  <c r="W7" i="1"/>
  <c r="Y6" i="1"/>
  <c r="W6" i="1"/>
  <c r="H29" i="1" l="1"/>
  <c r="H20" i="1"/>
  <c r="H23" i="1"/>
  <c r="H21" i="1"/>
  <c r="H22" i="1"/>
  <c r="H19" i="1"/>
</calcChain>
</file>

<file path=xl/sharedStrings.xml><?xml version="1.0" encoding="utf-8"?>
<sst xmlns="http://schemas.openxmlformats.org/spreadsheetml/2006/main" count="71" uniqueCount="55">
  <si>
    <t>State Trunk Highway Crash Rates (Excluding Deer Crashes) 2011-2015</t>
  </si>
  <si>
    <t>Segment Crash Rate Worksheet</t>
  </si>
  <si>
    <t>Meta-Manager State Trunk Highway Groups</t>
  </si>
  <si>
    <t>Crash Rate</t>
  </si>
  <si>
    <t>KAB Crash Rate</t>
  </si>
  <si>
    <t>Average</t>
  </si>
  <si>
    <t>UCL</t>
  </si>
  <si>
    <t>Project ID:</t>
  </si>
  <si>
    <t xml:space="preserve"> </t>
  </si>
  <si>
    <t>6-Lane Freeways with AADT &lt;/= 90,300</t>
  </si>
  <si>
    <t>Highway:</t>
  </si>
  <si>
    <t>6-Lane Freeways with AADT &gt; 90,300</t>
  </si>
  <si>
    <t>Termini:</t>
  </si>
  <si>
    <t>4-Lane Freeways</t>
  </si>
  <si>
    <t>Description:</t>
  </si>
  <si>
    <t>65 mph Expressways</t>
  </si>
  <si>
    <t>County:</t>
  </si>
  <si>
    <t>55 mph Expressways</t>
  </si>
  <si>
    <t xml:space="preserve">Crash Data Years:  </t>
  </si>
  <si>
    <t>2012 - 2016</t>
  </si>
  <si>
    <t>Multilane Divided Highways Posted at 45 mph or higher</t>
  </si>
  <si>
    <t>Deer Crashes Not Included</t>
  </si>
  <si>
    <t>Multilane Divided Highways Posted at 40 mph or lower</t>
  </si>
  <si>
    <t>Multilane Undivided and One-Way Highways</t>
  </si>
  <si>
    <t>.</t>
  </si>
  <si>
    <t>Rural 2-lane Highways with AADT &lt;/= 2,000</t>
  </si>
  <si>
    <t>Number of Years (n):</t>
  </si>
  <si>
    <t>Rural 2-lane Highways with 2,000 &lt; AADT &lt;/= 7,000</t>
  </si>
  <si>
    <t>Rural 2-Lane Highways with AADT &gt;/= 7,000</t>
  </si>
  <si>
    <t>Total Number of Crashes:</t>
  </si>
  <si>
    <t>Low speed 2-Lane Highways Posted at 40 mph or lower</t>
  </si>
  <si>
    <t xml:space="preserve">   Total Number of FAT Crashes:</t>
  </si>
  <si>
    <t xml:space="preserve">   Total Number of Type A Crashes:</t>
  </si>
  <si>
    <t xml:space="preserve">   Total Number of Type B Crashes:</t>
  </si>
  <si>
    <t xml:space="preserve">   Total Number of Type C Crashes:</t>
  </si>
  <si>
    <t xml:space="preserve">   Total Number of INJ Crashes:</t>
  </si>
  <si>
    <t>Local Roads Crash Rates (Excluding Deer Crashes) 2011-2015</t>
  </si>
  <si>
    <t xml:space="preserve">   Total Number of PD Crashes:</t>
  </si>
  <si>
    <t>Average Daily Traffic (ADT):</t>
  </si>
  <si>
    <t>Urban Streets</t>
  </si>
  <si>
    <t>Rural County Trunk Highways</t>
  </si>
  <si>
    <t>Segment Length (Miles):</t>
  </si>
  <si>
    <t>Average Yearly Total Crash Rate:</t>
  </si>
  <si>
    <t>(total crashes/n) * 100000000 / (adt * 365 * length)</t>
  </si>
  <si>
    <t>Legend:</t>
  </si>
  <si>
    <t>Average KAB Crash Rate:</t>
  </si>
  <si>
    <t>Total = Total Crashes per 100 million vehicle miles</t>
  </si>
  <si>
    <t>(Sum KAB/n) * 100000000 / (adt * 365 * length)</t>
  </si>
  <si>
    <t>Crash Rate =  Crashes per 100 million vehicle miles</t>
  </si>
  <si>
    <t>KAB Crash Rate = KAB Crashes per 100 million vehicle miles</t>
  </si>
  <si>
    <t>1440-39-30</t>
  </si>
  <si>
    <t>STH 23</t>
  </si>
  <si>
    <t>USH 151-CTH UU</t>
  </si>
  <si>
    <t>FDL-Plymouth</t>
  </si>
  <si>
    <t>Fond du 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</si>
</sst>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#,##0.0"/>
    <numFmt numFmtId="167" formatCode="0.00_)"/>
  </numFmts>
  <fonts count="30" x14ac:knownFonts="1">
    <font>
      <sz val="11"/>
      <color theme="1"/>
      <name val="Calibri"/>
      <family val="2"/>
      <scheme val="minor"/>
    </font>
    <font>
      <sz val="12"/>
      <color indexed="12"/>
      <name val="Helv"/>
    </font>
    <font>
      <sz val="10"/>
      <name val="Tms Rmn"/>
    </font>
    <font>
      <b/>
      <sz val="14"/>
      <name val="Helv"/>
    </font>
    <font>
      <b/>
      <sz val="12"/>
      <name val="Helv"/>
    </font>
    <font>
      <b/>
      <sz val="14"/>
      <name val="Times New Roman"/>
      <family val="1"/>
    </font>
    <font>
      <sz val="10"/>
      <color indexed="12"/>
      <name val="Tms Rmn"/>
    </font>
    <font>
      <b/>
      <sz val="12"/>
      <name val="Tms Rmn"/>
    </font>
    <font>
      <b/>
      <sz val="10"/>
      <name val="Tms Rmn"/>
    </font>
    <font>
      <sz val="10"/>
      <name val="Times New Roman"/>
      <family val="1"/>
    </font>
    <font>
      <sz val="12"/>
      <color theme="1"/>
      <name val="Calibri"/>
      <family val="2"/>
    </font>
    <font>
      <sz val="12"/>
      <color theme="1"/>
      <name val="Cambria"/>
      <family val="1"/>
    </font>
    <font>
      <sz val="11"/>
      <name val="Times New Roman"/>
      <family val="1"/>
    </font>
    <font>
      <sz val="10"/>
      <color theme="1"/>
      <name val="Cambria"/>
      <family val="1"/>
    </font>
    <font>
      <sz val="12"/>
      <color indexed="12"/>
      <name val="Times New Roman"/>
      <family val="1"/>
    </font>
    <font>
      <sz val="12"/>
      <name val="Helv"/>
    </font>
    <font>
      <sz val="12"/>
      <color indexed="10"/>
      <name val="Times New Roman"/>
      <family val="1"/>
    </font>
    <font>
      <sz val="10"/>
      <name val="Helv"/>
    </font>
    <font>
      <sz val="12"/>
      <color indexed="39"/>
      <name val="Times New Roman"/>
      <family val="1"/>
    </font>
    <font>
      <sz val="10"/>
      <color indexed="10"/>
      <name val="Times New Roman"/>
      <family val="1"/>
    </font>
    <font>
      <sz val="12"/>
      <name val="Times New Roman"/>
      <family val="1"/>
    </font>
    <font>
      <b/>
      <sz val="7"/>
      <name val="Tms Rmn"/>
    </font>
    <font>
      <sz val="8"/>
      <name val="Helv"/>
    </font>
    <font>
      <sz val="10"/>
      <color indexed="39"/>
      <name val="Times New Roman"/>
      <family val="1"/>
    </font>
    <font>
      <sz val="7"/>
      <name val="Helv"/>
    </font>
    <font>
      <i/>
      <sz val="10"/>
      <name val="Tms Rmn"/>
    </font>
    <font>
      <i/>
      <sz val="12"/>
      <name val="Helv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Tms Rmn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4" fillId="0" borderId="8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Continuous"/>
    </xf>
    <xf numFmtId="0" fontId="0" fillId="3" borderId="6" xfId="0" applyFill="1" applyBorder="1" applyAlignment="1">
      <alignment horizontal="centerContinuous"/>
    </xf>
    <xf numFmtId="0" fontId="6" fillId="3" borderId="6" xfId="0" applyFont="1" applyFill="1" applyBorder="1" applyAlignment="1" applyProtection="1">
      <alignment horizontal="centerContinuous"/>
      <protection locked="0"/>
    </xf>
    <xf numFmtId="0" fontId="1" fillId="3" borderId="6" xfId="0" applyFont="1" applyFill="1" applyBorder="1" applyAlignment="1" applyProtection="1">
      <alignment horizontal="centerContinuous"/>
      <protection locked="0"/>
    </xf>
    <xf numFmtId="0" fontId="1" fillId="3" borderId="9" xfId="0" applyFont="1" applyFill="1" applyBorder="1" applyAlignment="1" applyProtection="1">
      <alignment horizontal="centerContinuous"/>
      <protection locked="0"/>
    </xf>
    <xf numFmtId="0" fontId="1" fillId="0" borderId="10" xfId="0" applyFont="1" applyBorder="1" applyProtection="1">
      <protection locked="0"/>
    </xf>
    <xf numFmtId="0" fontId="2" fillId="0" borderId="10" xfId="0" applyFont="1" applyFill="1" applyBorder="1" applyAlignment="1" applyProtection="1">
      <alignment horizontal="centerContinuous"/>
    </xf>
    <xf numFmtId="0" fontId="2" fillId="0" borderId="4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1" fillId="0" borderId="0" xfId="0" applyFont="1" applyFill="1" applyBorder="1" applyAlignment="1" applyProtection="1">
      <alignment horizontal="centerContinuous"/>
      <protection locked="0"/>
    </xf>
    <xf numFmtId="0" fontId="8" fillId="3" borderId="16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/>
    </xf>
    <xf numFmtId="0" fontId="0" fillId="0" borderId="10" xfId="0" applyFill="1" applyBorder="1" applyAlignment="1">
      <alignment horizontal="centerContinuous"/>
    </xf>
    <xf numFmtId="0" fontId="9" fillId="0" borderId="4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8" fillId="0" borderId="0" xfId="0" applyFont="1" applyBorder="1" applyAlignment="1" applyProtection="1">
      <alignment horizontal="left"/>
    </xf>
    <xf numFmtId="49" fontId="10" fillId="0" borderId="0" xfId="0" applyNumberFormat="1" applyFont="1"/>
    <xf numFmtId="14" fontId="10" fillId="0" borderId="0" xfId="0" applyNumberFormat="1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2" fillId="0" borderId="18" xfId="0" applyFont="1" applyBorder="1" applyAlignment="1" applyProtection="1">
      <alignment horizontal="center"/>
    </xf>
    <xf numFmtId="2" fontId="12" fillId="0" borderId="22" xfId="0" applyNumberFormat="1" applyFont="1" applyBorder="1" applyAlignment="1" applyProtection="1">
      <alignment horizontal="center" vertical="center"/>
    </xf>
    <xf numFmtId="2" fontId="12" fillId="0" borderId="23" xfId="0" applyNumberFormat="1" applyFont="1" applyBorder="1" applyAlignment="1">
      <alignment horizontal="center" vertical="center"/>
    </xf>
    <xf numFmtId="2" fontId="12" fillId="0" borderId="24" xfId="0" applyNumberFormat="1" applyFont="1" applyBorder="1" applyAlignment="1" applyProtection="1">
      <alignment horizontal="center" vertical="center"/>
    </xf>
    <xf numFmtId="2" fontId="12" fillId="0" borderId="25" xfId="0" applyNumberFormat="1" applyFont="1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10" fillId="0" borderId="0" xfId="0" applyFont="1"/>
    <xf numFmtId="0" fontId="10" fillId="0" borderId="0" xfId="0" applyFont="1" applyBorder="1" applyAlignment="1" applyProtection="1">
      <alignment horizontal="left"/>
      <protection locked="0"/>
    </xf>
    <xf numFmtId="0" fontId="12" fillId="0" borderId="26" xfId="0" applyFont="1" applyBorder="1" applyAlignment="1">
      <alignment horizontal="center"/>
    </xf>
    <xf numFmtId="2" fontId="12" fillId="0" borderId="26" xfId="0" applyNumberFormat="1" applyFont="1" applyBorder="1" applyAlignment="1" applyProtection="1">
      <alignment horizontal="center" vertical="center"/>
    </xf>
    <xf numFmtId="2" fontId="12" fillId="0" borderId="30" xfId="0" applyNumberFormat="1" applyFont="1" applyBorder="1" applyAlignment="1">
      <alignment horizontal="center" vertical="center"/>
    </xf>
    <xf numFmtId="2" fontId="12" fillId="0" borderId="30" xfId="0" applyNumberFormat="1" applyFont="1" applyBorder="1" applyAlignment="1" applyProtection="1">
      <alignment horizontal="center" vertical="center"/>
    </xf>
    <xf numFmtId="2" fontId="12" fillId="0" borderId="31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/>
    </xf>
    <xf numFmtId="0" fontId="10" fillId="0" borderId="0" xfId="0" applyFont="1" applyBorder="1" applyProtection="1">
      <protection locked="0"/>
    </xf>
    <xf numFmtId="0" fontId="11" fillId="0" borderId="0" xfId="0" applyFont="1" applyBorder="1"/>
    <xf numFmtId="0" fontId="0" fillId="0" borderId="10" xfId="0" applyBorder="1"/>
    <xf numFmtId="0" fontId="8" fillId="0" borderId="0" xfId="0" applyFont="1" applyFill="1" applyBorder="1" applyAlignment="1" applyProtection="1">
      <alignment horizontal="left"/>
    </xf>
    <xf numFmtId="0" fontId="12" fillId="0" borderId="26" xfId="0" applyFont="1" applyFill="1" applyBorder="1" applyAlignment="1">
      <alignment horizontal="center"/>
    </xf>
    <xf numFmtId="2" fontId="12" fillId="0" borderId="26" xfId="0" applyNumberFormat="1" applyFont="1" applyFill="1" applyBorder="1" applyAlignment="1" applyProtection="1">
      <alignment horizontal="center" vertical="center"/>
    </xf>
    <xf numFmtId="2" fontId="12" fillId="0" borderId="30" xfId="0" applyNumberFormat="1" applyFont="1" applyFill="1" applyBorder="1" applyAlignment="1" applyProtection="1">
      <alignment horizontal="center" vertical="center"/>
    </xf>
    <xf numFmtId="0" fontId="10" fillId="0" borderId="0" xfId="0" applyFont="1" applyBorder="1"/>
    <xf numFmtId="2" fontId="12" fillId="0" borderId="26" xfId="0" applyNumberFormat="1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/>
      <protection locked="0"/>
    </xf>
    <xf numFmtId="0" fontId="12" fillId="0" borderId="26" xfId="0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4" xfId="0" applyNumberFormat="1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Protection="1">
      <protection locked="0"/>
    </xf>
    <xf numFmtId="0" fontId="12" fillId="0" borderId="26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Border="1"/>
    <xf numFmtId="0" fontId="6" fillId="0" borderId="0" xfId="0" applyFont="1" applyBorder="1" applyProtection="1">
      <protection locked="0"/>
    </xf>
    <xf numFmtId="0" fontId="1" fillId="0" borderId="0" xfId="0" applyNumberFormat="1" applyFont="1" applyBorder="1" applyProtection="1">
      <protection locked="0"/>
    </xf>
    <xf numFmtId="0" fontId="14" fillId="0" borderId="0" xfId="0" applyFont="1" applyBorder="1" applyAlignment="1" applyProtection="1">
      <alignment horizontal="right"/>
      <protection locked="0"/>
    </xf>
    <xf numFmtId="2" fontId="12" fillId="4" borderId="26" xfId="0" applyNumberFormat="1" applyFont="1" applyFill="1" applyBorder="1" applyAlignment="1" applyProtection="1">
      <alignment horizontal="center" vertical="center"/>
    </xf>
    <xf numFmtId="2" fontId="12" fillId="4" borderId="30" xfId="0" applyNumberFormat="1" applyFont="1" applyFill="1" applyBorder="1" applyAlignment="1">
      <alignment horizontal="center" vertical="center"/>
    </xf>
    <xf numFmtId="2" fontId="12" fillId="4" borderId="30" xfId="0" applyNumberFormat="1" applyFont="1" applyFill="1" applyBorder="1" applyAlignment="1" applyProtection="1">
      <alignment horizontal="center" vertical="center"/>
    </xf>
    <xf numFmtId="2" fontId="12" fillId="4" borderId="31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left"/>
    </xf>
    <xf numFmtId="2" fontId="12" fillId="0" borderId="30" xfId="0" applyNumberFormat="1" applyFont="1" applyFill="1" applyBorder="1" applyAlignment="1">
      <alignment horizontal="center" vertical="center"/>
    </xf>
    <xf numFmtId="2" fontId="12" fillId="0" borderId="3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15" fillId="0" borderId="0" xfId="0" applyFont="1" applyBorder="1" applyAlignment="1" applyProtection="1">
      <alignment horizontal="right"/>
    </xf>
    <xf numFmtId="0" fontId="16" fillId="5" borderId="0" xfId="0" applyFont="1" applyFill="1" applyBorder="1" applyAlignment="1" applyProtection="1">
      <alignment horizontal="right"/>
    </xf>
    <xf numFmtId="0" fontId="14" fillId="0" borderId="10" xfId="0" applyFont="1" applyBorder="1" applyAlignment="1" applyProtection="1">
      <alignment horizontal="right"/>
      <protection locked="0"/>
    </xf>
    <xf numFmtId="0" fontId="12" fillId="0" borderId="16" xfId="0" applyFont="1" applyFill="1" applyBorder="1" applyAlignment="1" applyProtection="1">
      <alignment horizontal="center"/>
    </xf>
    <xf numFmtId="2" fontId="12" fillId="0" borderId="16" xfId="0" applyNumberFormat="1" applyFont="1" applyFill="1" applyBorder="1" applyAlignment="1" applyProtection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2" fontId="12" fillId="0" borderId="17" xfId="0" applyNumberFormat="1" applyFont="1" applyFill="1" applyBorder="1" applyAlignment="1" applyProtection="1">
      <alignment horizontal="center" vertical="center"/>
    </xf>
    <xf numFmtId="2" fontId="12" fillId="0" borderId="35" xfId="0" applyNumberFormat="1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8" fillId="0" borderId="0" xfId="0" applyFont="1" applyBorder="1" applyProtection="1">
      <protection locked="0"/>
    </xf>
    <xf numFmtId="165" fontId="19" fillId="0" borderId="0" xfId="0" applyNumberFormat="1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0" fontId="21" fillId="0" borderId="0" xfId="0" applyFont="1" applyBorder="1" applyAlignment="1" applyProtection="1">
      <alignment horizontal="left"/>
    </xf>
    <xf numFmtId="0" fontId="22" fillId="0" borderId="0" xfId="0" applyFont="1"/>
    <xf numFmtId="0" fontId="23" fillId="0" borderId="0" xfId="0" applyFont="1" applyProtection="1">
      <protection locked="0"/>
    </xf>
    <xf numFmtId="0" fontId="0" fillId="0" borderId="0" xfId="0" applyFill="1" applyBorder="1"/>
    <xf numFmtId="0" fontId="2" fillId="0" borderId="0" xfId="0" applyFont="1" applyFill="1" applyBorder="1"/>
    <xf numFmtId="0" fontId="24" fillId="0" borderId="0" xfId="0" applyFont="1"/>
    <xf numFmtId="0" fontId="25" fillId="0" borderId="0" xfId="0" applyFont="1" applyFill="1" applyBorder="1"/>
    <xf numFmtId="0" fontId="7" fillId="0" borderId="0" xfId="0" applyFont="1" applyFill="1" applyBorder="1"/>
    <xf numFmtId="0" fontId="18" fillId="0" borderId="0" xfId="0" applyFont="1" applyBorder="1" applyProtection="1"/>
    <xf numFmtId="0" fontId="26" fillId="0" borderId="0" xfId="0" applyFont="1" applyFill="1" applyBorder="1"/>
    <xf numFmtId="0" fontId="20" fillId="0" borderId="0" xfId="0" applyFont="1" applyBorder="1" applyAlignment="1">
      <alignment horizontal="right"/>
    </xf>
    <xf numFmtId="0" fontId="28" fillId="3" borderId="16" xfId="0" applyFont="1" applyFill="1" applyBorder="1" applyAlignment="1" applyProtection="1">
      <alignment horizontal="center" vertical="center"/>
    </xf>
    <xf numFmtId="0" fontId="28" fillId="2" borderId="17" xfId="0" applyFont="1" applyFill="1" applyBorder="1" applyAlignment="1" applyProtection="1">
      <alignment horizontal="center" vertical="center"/>
    </xf>
    <xf numFmtId="0" fontId="28" fillId="3" borderId="17" xfId="0" applyFont="1" applyFill="1" applyBorder="1" applyAlignment="1" applyProtection="1">
      <alignment horizontal="center" vertical="center"/>
    </xf>
    <xf numFmtId="0" fontId="28" fillId="3" borderId="35" xfId="0" applyFont="1" applyFill="1" applyBorder="1" applyAlignment="1" applyProtection="1">
      <alignment horizontal="center" vertical="center"/>
    </xf>
    <xf numFmtId="0" fontId="4" fillId="0" borderId="10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0" fillId="0" borderId="0" xfId="0" applyBorder="1" applyAlignment="1" applyProtection="1">
      <alignment horizontal="right"/>
    </xf>
    <xf numFmtId="0" fontId="20" fillId="0" borderId="18" xfId="0" applyFont="1" applyFill="1" applyBorder="1" applyAlignment="1" applyProtection="1">
      <alignment horizontal="center"/>
    </xf>
    <xf numFmtId="2" fontId="20" fillId="0" borderId="30" xfId="0" applyNumberFormat="1" applyFont="1" applyBorder="1" applyAlignment="1">
      <alignment horizontal="center" vertical="center"/>
    </xf>
    <xf numFmtId="0" fontId="20" fillId="0" borderId="23" xfId="0" applyFont="1" applyFill="1" applyBorder="1" applyAlignment="1" applyProtection="1">
      <alignment horizontal="center"/>
    </xf>
    <xf numFmtId="2" fontId="20" fillId="0" borderId="31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Continuous"/>
    </xf>
    <xf numFmtId="0" fontId="20" fillId="0" borderId="16" xfId="0" applyFont="1" applyFill="1" applyBorder="1" applyAlignment="1" applyProtection="1">
      <alignment horizontal="center" vertical="center"/>
    </xf>
    <xf numFmtId="2" fontId="20" fillId="0" borderId="17" xfId="0" applyNumberFormat="1" applyFont="1" applyBorder="1" applyAlignment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2" fontId="20" fillId="0" borderId="35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 applyProtection="1">
      <alignment horizontal="center"/>
    </xf>
    <xf numFmtId="0" fontId="0" fillId="0" borderId="10" xfId="0" applyFill="1" applyBorder="1"/>
    <xf numFmtId="0" fontId="0" fillId="0" borderId="4" xfId="0" applyFill="1" applyBorder="1"/>
    <xf numFmtId="166" fontId="16" fillId="0" borderId="0" xfId="0" applyNumberFormat="1" applyFont="1" applyBorder="1" applyAlignment="1" applyProtection="1"/>
    <xf numFmtId="167" fontId="20" fillId="0" borderId="10" xfId="0" applyNumberFormat="1" applyFont="1" applyBorder="1" applyAlignment="1" applyProtection="1">
      <alignment horizontal="right"/>
    </xf>
    <xf numFmtId="0" fontId="2" fillId="0" borderId="10" xfId="0" applyFont="1" applyFill="1" applyBorder="1"/>
    <xf numFmtId="0" fontId="2" fillId="0" borderId="4" xfId="0" applyFont="1" applyFill="1" applyBorder="1"/>
    <xf numFmtId="0" fontId="29" fillId="0" borderId="0" xfId="0" applyFont="1" applyBorder="1" applyAlignment="1" applyProtection="1">
      <alignment horizontal="left"/>
    </xf>
    <xf numFmtId="164" fontId="16" fillId="0" borderId="0" xfId="0" applyNumberFormat="1" applyFont="1" applyBorder="1" applyAlignment="1" applyProtection="1">
      <alignment horizontal="right"/>
    </xf>
    <xf numFmtId="1" fontId="20" fillId="0" borderId="0" xfId="0" applyNumberFormat="1" applyFont="1" applyBorder="1" applyAlignment="1" applyProtection="1">
      <alignment horizontal="right"/>
    </xf>
    <xf numFmtId="0" fontId="27" fillId="0" borderId="0" xfId="0" applyFont="1" applyBorder="1" applyAlignment="1" applyProtection="1">
      <alignment horizontal="left"/>
    </xf>
    <xf numFmtId="0" fontId="20" fillId="0" borderId="0" xfId="0" applyFont="1" applyBorder="1"/>
    <xf numFmtId="0" fontId="0" fillId="0" borderId="4" xfId="0" applyFill="1" applyBorder="1" applyAlignment="1">
      <alignment horizontal="centerContinuous"/>
    </xf>
    <xf numFmtId="0" fontId="0" fillId="0" borderId="13" xfId="0" applyFill="1" applyBorder="1" applyAlignment="1">
      <alignment horizontal="centerContinuous"/>
    </xf>
    <xf numFmtId="0" fontId="0" fillId="0" borderId="14" xfId="0" applyFill="1" applyBorder="1"/>
    <xf numFmtId="0" fontId="0" fillId="0" borderId="15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0" xfId="0" applyFont="1"/>
    <xf numFmtId="0" fontId="20" fillId="0" borderId="36" xfId="0" applyFont="1" applyFill="1" applyBorder="1" applyAlignment="1" applyProtection="1">
      <alignment horizontal="center" vertical="top"/>
    </xf>
    <xf numFmtId="0" fontId="20" fillId="0" borderId="20" xfId="0" applyFont="1" applyFill="1" applyBorder="1" applyAlignment="1" applyProtection="1">
      <alignment horizontal="center" vertical="top"/>
    </xf>
    <xf numFmtId="0" fontId="20" fillId="0" borderId="21" xfId="0" applyFont="1" applyFill="1" applyBorder="1" applyAlignment="1" applyProtection="1">
      <alignment horizontal="center" vertical="top"/>
    </xf>
    <xf numFmtId="0" fontId="20" fillId="0" borderId="37" xfId="0" applyFont="1" applyFill="1" applyBorder="1" applyAlignment="1" applyProtection="1">
      <alignment horizontal="center" vertical="top"/>
    </xf>
    <xf numFmtId="0" fontId="20" fillId="0" borderId="33" xfId="0" applyFont="1" applyFill="1" applyBorder="1" applyAlignment="1" applyProtection="1">
      <alignment horizontal="center" vertical="top"/>
    </xf>
    <xf numFmtId="0" fontId="20" fillId="0" borderId="34" xfId="0" applyFont="1" applyFill="1" applyBorder="1" applyAlignment="1" applyProtection="1">
      <alignment horizontal="center" vertical="top"/>
    </xf>
    <xf numFmtId="0" fontId="3" fillId="2" borderId="36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27" fillId="0" borderId="38" xfId="0" applyFont="1" applyBorder="1" applyAlignment="1" applyProtection="1">
      <alignment horizontal="center"/>
    </xf>
    <xf numFmtId="0" fontId="27" fillId="0" borderId="28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7" fillId="0" borderId="37" xfId="0" applyFont="1" applyBorder="1" applyAlignment="1" applyProtection="1">
      <alignment horizontal="center"/>
    </xf>
    <xf numFmtId="0" fontId="27" fillId="0" borderId="33" xfId="0" applyFont="1" applyBorder="1" applyAlignment="1" applyProtection="1">
      <alignment horizontal="center"/>
    </xf>
    <xf numFmtId="0" fontId="27" fillId="0" borderId="34" xfId="0" applyFont="1" applyBorder="1" applyAlignment="1" applyProtection="1">
      <alignment horizontal="center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2" fillId="4" borderId="29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7" fillId="2" borderId="1" xfId="0" applyFont="1" applyFill="1" applyBorder="1" applyAlignment="1" applyProtection="1">
      <alignment horizontal="center" vertical="center"/>
    </xf>
    <xf numFmtId="0" fontId="27" fillId="2" borderId="2" xfId="0" applyFont="1" applyFill="1" applyBorder="1" applyAlignment="1" applyProtection="1">
      <alignment horizontal="center" vertical="center"/>
    </xf>
    <xf numFmtId="0" fontId="27" fillId="2" borderId="3" xfId="0" applyFont="1" applyFill="1" applyBorder="1" applyAlignment="1" applyProtection="1">
      <alignment horizontal="center" vertical="center"/>
    </xf>
    <xf numFmtId="0" fontId="27" fillId="2" borderId="13" xfId="0" applyFont="1" applyFill="1" applyBorder="1" applyAlignment="1" applyProtection="1">
      <alignment horizontal="center" vertical="center"/>
    </xf>
    <xf numFmtId="0" fontId="27" fillId="2" borderId="14" xfId="0" applyFont="1" applyFill="1" applyBorder="1" applyAlignment="1" applyProtection="1">
      <alignment horizontal="center" vertical="center"/>
    </xf>
    <xf numFmtId="0" fontId="27" fillId="2" borderId="15" xfId="0" applyFont="1" applyFill="1" applyBorder="1" applyAlignment="1" applyProtection="1">
      <alignment horizontal="center" vertical="center"/>
    </xf>
    <xf numFmtId="0" fontId="28" fillId="3" borderId="1" xfId="0" applyFont="1" applyFill="1" applyBorder="1" applyAlignment="1" applyProtection="1">
      <alignment horizontal="center"/>
    </xf>
    <xf numFmtId="0" fontId="28" fillId="3" borderId="11" xfId="0" applyFont="1" applyFill="1" applyBorder="1" applyAlignment="1" applyProtection="1">
      <alignment horizontal="center"/>
    </xf>
    <xf numFmtId="0" fontId="28" fillId="3" borderId="12" xfId="0" applyFont="1" applyFill="1" applyBorder="1" applyAlignment="1" applyProtection="1">
      <alignment horizontal="center"/>
    </xf>
    <xf numFmtId="0" fontId="28" fillId="3" borderId="3" xfId="0" applyFont="1" applyFill="1" applyBorder="1" applyAlignment="1" applyProtection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/>
    </xf>
    <xf numFmtId="0" fontId="8" fillId="3" borderId="12" xfId="0" applyFont="1" applyFill="1" applyBorder="1" applyAlignment="1" applyProtection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4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95250</xdr:rowOff>
    </xdr:from>
    <xdr:to>
      <xdr:col>7</xdr:col>
      <xdr:colOff>38100</xdr:colOff>
      <xdr:row>14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019425" y="3057525"/>
          <a:ext cx="352425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16</xdr:row>
      <xdr:rowOff>95250</xdr:rowOff>
    </xdr:from>
    <xdr:to>
      <xdr:col>7</xdr:col>
      <xdr:colOff>38100</xdr:colOff>
      <xdr:row>16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019425" y="3457575"/>
          <a:ext cx="352425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24</xdr:row>
      <xdr:rowOff>95250</xdr:rowOff>
    </xdr:from>
    <xdr:to>
      <xdr:col>7</xdr:col>
      <xdr:colOff>38100</xdr:colOff>
      <xdr:row>24</xdr:row>
      <xdr:rowOff>95250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019425" y="5143500"/>
          <a:ext cx="352425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26</xdr:row>
      <xdr:rowOff>95250</xdr:rowOff>
    </xdr:from>
    <xdr:to>
      <xdr:col>7</xdr:col>
      <xdr:colOff>38100</xdr:colOff>
      <xdr:row>26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019425" y="5553075"/>
          <a:ext cx="352425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28</xdr:row>
      <xdr:rowOff>95250</xdr:rowOff>
    </xdr:from>
    <xdr:to>
      <xdr:col>7</xdr:col>
      <xdr:colOff>38100</xdr:colOff>
      <xdr:row>28</xdr:row>
      <xdr:rowOff>95250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019425" y="5953125"/>
          <a:ext cx="352425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30</xdr:row>
      <xdr:rowOff>95250</xdr:rowOff>
    </xdr:from>
    <xdr:to>
      <xdr:col>7</xdr:col>
      <xdr:colOff>38100</xdr:colOff>
      <xdr:row>30</xdr:row>
      <xdr:rowOff>95250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019425" y="6410325"/>
          <a:ext cx="352425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30</xdr:row>
      <xdr:rowOff>95250</xdr:rowOff>
    </xdr:from>
    <xdr:to>
      <xdr:col>7</xdr:col>
      <xdr:colOff>38100</xdr:colOff>
      <xdr:row>30</xdr:row>
      <xdr:rowOff>95250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3019425" y="6410325"/>
          <a:ext cx="352425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13</xdr:col>
      <xdr:colOff>0</xdr:colOff>
      <xdr:row>65</xdr:row>
      <xdr:rowOff>0</xdr:rowOff>
    </xdr:from>
    <xdr:to>
      <xdr:col>13</xdr:col>
      <xdr:colOff>360269</xdr:colOff>
      <xdr:row>65</xdr:row>
      <xdr:rowOff>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5524500" y="13115925"/>
          <a:ext cx="360269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5"/>
  <sheetViews>
    <sheetView tabSelected="1" topLeftCell="A7" workbookViewId="0">
      <selection activeCell="K13" sqref="K13:Y13"/>
    </sheetView>
  </sheetViews>
  <sheetFormatPr defaultRowHeight="14.4" x14ac:dyDescent="0.3"/>
  <cols>
    <col min="1" max="1" width="2.33203125" customWidth="1"/>
    <col min="2" max="2" width="3.44140625" customWidth="1"/>
    <col min="3" max="3" width="2.88671875" customWidth="1"/>
    <col min="4" max="4" width="13.33203125" customWidth="1"/>
    <col min="5" max="5" width="14.33203125" customWidth="1"/>
    <col min="7" max="7" width="4.6640625" customWidth="1"/>
    <col min="8" max="8" width="10.33203125" customWidth="1"/>
    <col min="9" max="9" width="2.33203125" customWidth="1"/>
    <col min="10" max="10" width="2.44140625" customWidth="1"/>
    <col min="11" max="11" width="5.33203125" customWidth="1"/>
    <col min="12" max="12" width="8.33203125" bestFit="1" customWidth="1"/>
    <col min="13" max="13" width="4.33203125" bestFit="1" customWidth="1"/>
    <col min="14" max="14" width="6.6640625" bestFit="1" customWidth="1"/>
    <col min="15" max="15" width="5.109375" bestFit="1" customWidth="1"/>
    <col min="16" max="17" width="4.33203125" bestFit="1" customWidth="1"/>
    <col min="18" max="18" width="7.6640625" bestFit="1" customWidth="1"/>
    <col min="19" max="19" width="6.6640625" customWidth="1"/>
    <col min="20" max="20" width="6" customWidth="1"/>
    <col min="21" max="21" width="7.33203125" customWidth="1"/>
    <col min="22" max="22" width="8.5546875" customWidth="1"/>
    <col min="23" max="23" width="7.88671875" bestFit="1" customWidth="1"/>
    <col min="24" max="24" width="8" customWidth="1"/>
    <col min="25" max="25" width="7.6640625" customWidth="1"/>
    <col min="26" max="26" width="4.33203125" bestFit="1" customWidth="1"/>
    <col min="27" max="27" width="6.33203125" customWidth="1"/>
    <col min="28" max="28" width="3.44140625" bestFit="1" customWidth="1"/>
    <col min="29" max="29" width="4.33203125" bestFit="1" customWidth="1"/>
    <col min="30" max="30" width="4.33203125" customWidth="1"/>
    <col min="31" max="31" width="5.33203125" customWidth="1"/>
    <col min="32" max="32" width="4.33203125" bestFit="1" customWidth="1"/>
    <col min="33" max="33" width="6.33203125" customWidth="1"/>
    <col min="34" max="34" width="3.44140625" bestFit="1" customWidth="1"/>
    <col min="35" max="35" width="4.33203125" bestFit="1" customWidth="1"/>
    <col min="36" max="36" width="4.33203125" customWidth="1"/>
    <col min="37" max="37" width="5.44140625" customWidth="1"/>
    <col min="38" max="38" width="4.33203125" bestFit="1" customWidth="1"/>
    <col min="39" max="39" width="6.5546875" customWidth="1"/>
    <col min="40" max="41" width="4.33203125" bestFit="1" customWidth="1"/>
    <col min="42" max="42" width="4.33203125" customWidth="1"/>
    <col min="43" max="43" width="3.44140625" customWidth="1"/>
  </cols>
  <sheetData>
    <row r="1" spans="1:44" ht="16.2" thickBot="1" x14ac:dyDescent="0.35">
      <c r="A1" s="1"/>
    </row>
    <row r="2" spans="1:44" ht="15" thickBot="1" x14ac:dyDescent="0.3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5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7"/>
      <c r="AR2" s="6"/>
    </row>
    <row r="3" spans="1:44" ht="18.600000000000001" thickBot="1" x14ac:dyDescent="0.4">
      <c r="B3" s="5"/>
      <c r="C3" s="2"/>
      <c r="D3" s="3"/>
      <c r="E3" s="3"/>
      <c r="F3" s="3"/>
      <c r="G3" s="3"/>
      <c r="H3" s="3"/>
      <c r="I3" s="4"/>
      <c r="J3" s="6"/>
      <c r="K3" s="174" t="s">
        <v>0</v>
      </c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6"/>
      <c r="Z3" s="8"/>
      <c r="AA3" s="9"/>
      <c r="AB3" s="10"/>
      <c r="AR3" s="6"/>
    </row>
    <row r="4" spans="1:44" ht="18" thickBot="1" x14ac:dyDescent="0.35">
      <c r="B4" s="5"/>
      <c r="C4" s="5"/>
      <c r="D4" s="11" t="s">
        <v>1</v>
      </c>
      <c r="E4" s="12"/>
      <c r="F4" s="13"/>
      <c r="G4" s="14"/>
      <c r="H4" s="15"/>
      <c r="I4" s="16"/>
      <c r="K4" s="190" t="s">
        <v>2</v>
      </c>
      <c r="L4" s="191"/>
      <c r="M4" s="191"/>
      <c r="N4" s="191"/>
      <c r="O4" s="191"/>
      <c r="P4" s="191"/>
      <c r="Q4" s="191"/>
      <c r="R4" s="191"/>
      <c r="S4" s="191"/>
      <c r="T4" s="191"/>
      <c r="U4" s="192"/>
      <c r="V4" s="196" t="s">
        <v>3</v>
      </c>
      <c r="W4" s="197"/>
      <c r="X4" s="198" t="s">
        <v>4</v>
      </c>
      <c r="Y4" s="197"/>
      <c r="Z4" s="17"/>
      <c r="AA4" s="18"/>
      <c r="AB4" s="19"/>
      <c r="AR4" s="7"/>
    </row>
    <row r="5" spans="1:44" ht="18" thickBot="1" x14ac:dyDescent="0.35">
      <c r="B5" s="5"/>
      <c r="C5" s="5"/>
      <c r="D5" s="20"/>
      <c r="E5" s="21"/>
      <c r="F5" s="22"/>
      <c r="G5" s="23"/>
      <c r="H5" s="23"/>
      <c r="I5" s="16"/>
      <c r="K5" s="193"/>
      <c r="L5" s="194"/>
      <c r="M5" s="194"/>
      <c r="N5" s="194"/>
      <c r="O5" s="194"/>
      <c r="P5" s="194"/>
      <c r="Q5" s="194"/>
      <c r="R5" s="194"/>
      <c r="S5" s="194"/>
      <c r="T5" s="194"/>
      <c r="U5" s="195"/>
      <c r="V5" s="24" t="s">
        <v>5</v>
      </c>
      <c r="W5" s="25" t="s">
        <v>6</v>
      </c>
      <c r="X5" s="26" t="s">
        <v>5</v>
      </c>
      <c r="Y5" s="26" t="s">
        <v>6</v>
      </c>
      <c r="Z5" s="27"/>
      <c r="AA5" s="28"/>
      <c r="AB5" s="29"/>
      <c r="AR5" s="7"/>
    </row>
    <row r="6" spans="1:44" ht="15.6" x14ac:dyDescent="0.3">
      <c r="B6" s="5"/>
      <c r="C6" s="5"/>
      <c r="D6" s="30" t="s">
        <v>7</v>
      </c>
      <c r="E6" s="31" t="s">
        <v>50</v>
      </c>
      <c r="F6" s="32" t="s">
        <v>8</v>
      </c>
      <c r="G6" s="33"/>
      <c r="H6" s="33"/>
      <c r="I6" s="16"/>
      <c r="K6" s="34">
        <v>110</v>
      </c>
      <c r="L6" s="199" t="s">
        <v>9</v>
      </c>
      <c r="M6" s="200"/>
      <c r="N6" s="200"/>
      <c r="O6" s="200"/>
      <c r="P6" s="200"/>
      <c r="Q6" s="200"/>
      <c r="R6" s="200"/>
      <c r="S6" s="200"/>
      <c r="T6" s="200"/>
      <c r="U6" s="201"/>
      <c r="V6" s="35">
        <v>60.75</v>
      </c>
      <c r="W6" s="36">
        <f>+(60.75+(523.42*(SQRT(60.75/($H$25*$H$27*$H$15)))))</f>
        <v>72.641461190551354</v>
      </c>
      <c r="X6" s="37">
        <v>7.02</v>
      </c>
      <c r="Y6" s="38">
        <f>+(7.02+(523.42*(SQRT(7.02/($H$25*$H$27*$H$15)))))</f>
        <v>11.06231951038351</v>
      </c>
      <c r="Z6" s="39"/>
      <c r="AA6" s="40"/>
      <c r="AB6" s="19"/>
      <c r="AR6" s="7"/>
    </row>
    <row r="7" spans="1:44" ht="15.6" x14ac:dyDescent="0.3">
      <c r="B7" s="5"/>
      <c r="C7" s="5"/>
      <c r="D7" s="30" t="s">
        <v>10</v>
      </c>
      <c r="E7" s="41" t="s">
        <v>51</v>
      </c>
      <c r="F7" s="42" t="s">
        <v>8</v>
      </c>
      <c r="G7" s="33"/>
      <c r="H7" s="33"/>
      <c r="I7" s="16"/>
      <c r="K7" s="43">
        <v>120</v>
      </c>
      <c r="L7" s="187" t="s">
        <v>11</v>
      </c>
      <c r="M7" s="188"/>
      <c r="N7" s="188"/>
      <c r="O7" s="188"/>
      <c r="P7" s="188"/>
      <c r="Q7" s="188"/>
      <c r="R7" s="188"/>
      <c r="S7" s="188"/>
      <c r="T7" s="188"/>
      <c r="U7" s="189"/>
      <c r="V7" s="44">
        <v>98.04</v>
      </c>
      <c r="W7" s="45">
        <f>+(98.04+(523.42*(SQRT(98.04/($H$25*$H$27*$H$15)))))</f>
        <v>113.14649575492871</v>
      </c>
      <c r="X7" s="46">
        <v>7.2</v>
      </c>
      <c r="Y7" s="47">
        <f>+(7.2+(523.42*(SQRT(7.2/($H$25*$H$27*$H$15)))))</f>
        <v>11.293816102495754</v>
      </c>
      <c r="Z7" s="39"/>
      <c r="AA7" s="40"/>
      <c r="AB7" s="48"/>
      <c r="AR7" s="7"/>
    </row>
    <row r="8" spans="1:44" ht="15.6" x14ac:dyDescent="0.3">
      <c r="B8" s="5"/>
      <c r="C8" s="5"/>
      <c r="D8" s="30" t="s">
        <v>12</v>
      </c>
      <c r="E8" s="49" t="s">
        <v>52</v>
      </c>
      <c r="F8" s="42"/>
      <c r="G8" s="50"/>
      <c r="H8" s="50"/>
      <c r="I8" s="51"/>
      <c r="K8" s="43">
        <v>130</v>
      </c>
      <c r="L8" s="187" t="s">
        <v>13</v>
      </c>
      <c r="M8" s="188"/>
      <c r="N8" s="188"/>
      <c r="O8" s="188"/>
      <c r="P8" s="188"/>
      <c r="Q8" s="188"/>
      <c r="R8" s="188"/>
      <c r="S8" s="188"/>
      <c r="T8" s="188"/>
      <c r="U8" s="189"/>
      <c r="V8" s="44">
        <v>44.68</v>
      </c>
      <c r="W8" s="45">
        <f>+(44.68+(523.42*(SQRT(44.68/($H$25*$H$27*$H$15)))))</f>
        <v>54.878085856325299</v>
      </c>
      <c r="X8" s="46">
        <v>6.24</v>
      </c>
      <c r="Y8" s="47">
        <f>+(6.24+(523.42*(SQRT(6.24/($H$25*$H$27*$H$15)))))</f>
        <v>10.051135383353152</v>
      </c>
      <c r="Z8" s="39"/>
      <c r="AA8" s="40"/>
      <c r="AB8" s="48"/>
      <c r="AR8" s="7"/>
    </row>
    <row r="9" spans="1:44" ht="15.6" x14ac:dyDescent="0.3">
      <c r="B9" s="5"/>
      <c r="C9" s="5"/>
      <c r="D9" s="52" t="s">
        <v>14</v>
      </c>
      <c r="E9" s="42" t="s">
        <v>53</v>
      </c>
      <c r="F9" s="42"/>
      <c r="G9" s="50"/>
      <c r="H9" s="50"/>
      <c r="I9" s="51"/>
      <c r="K9" s="53">
        <v>210</v>
      </c>
      <c r="L9" s="165" t="s">
        <v>15</v>
      </c>
      <c r="M9" s="166"/>
      <c r="N9" s="166"/>
      <c r="O9" s="166"/>
      <c r="P9" s="166"/>
      <c r="Q9" s="166"/>
      <c r="R9" s="166"/>
      <c r="S9" s="166"/>
      <c r="T9" s="166"/>
      <c r="U9" s="167"/>
      <c r="V9" s="54">
        <v>45.95</v>
      </c>
      <c r="W9" s="45">
        <f>+(45.95+(523.42*(SQRT(45.95/($H$25*$H$27*$H$15)))))</f>
        <v>56.292007289679269</v>
      </c>
      <c r="X9" s="55">
        <v>8.4</v>
      </c>
      <c r="Y9" s="47">
        <f>+(8.4+(523.42*(SQRT(8.4/($H$25*$H$27*$H$15)))))</f>
        <v>12.821826771206947</v>
      </c>
      <c r="Z9" s="39"/>
      <c r="AA9" s="40"/>
      <c r="AB9" s="48"/>
      <c r="AR9" s="7"/>
    </row>
    <row r="10" spans="1:44" ht="15.6" x14ac:dyDescent="0.3">
      <c r="B10" s="5"/>
      <c r="C10" s="5"/>
      <c r="D10" s="30" t="s">
        <v>16</v>
      </c>
      <c r="E10" s="56" t="s">
        <v>54</v>
      </c>
      <c r="F10" s="42" t="s">
        <v>8</v>
      </c>
      <c r="G10" s="33"/>
      <c r="H10" s="33"/>
      <c r="I10" s="16"/>
      <c r="K10" s="43">
        <v>220</v>
      </c>
      <c r="L10" s="187" t="s">
        <v>17</v>
      </c>
      <c r="M10" s="188"/>
      <c r="N10" s="188"/>
      <c r="O10" s="188"/>
      <c r="P10" s="188"/>
      <c r="Q10" s="188"/>
      <c r="R10" s="188"/>
      <c r="S10" s="188"/>
      <c r="T10" s="188"/>
      <c r="U10" s="189"/>
      <c r="V10" s="57">
        <v>84.19</v>
      </c>
      <c r="W10" s="45">
        <f>+(84.19+(523.42*(SQRT(84.19/($H$25*$H$27*$H$15)))))</f>
        <v>98.188849240214836</v>
      </c>
      <c r="X10" s="45">
        <v>14.31</v>
      </c>
      <c r="Y10" s="47">
        <f>+(14.31+(523.42*(SQRT(14.31/($H$25*$H$27*$H$15)))))</f>
        <v>20.081409614088564</v>
      </c>
      <c r="Z10" s="39"/>
      <c r="AA10" s="40"/>
      <c r="AB10" s="48"/>
      <c r="AR10" s="7"/>
    </row>
    <row r="11" spans="1:44" ht="15.6" x14ac:dyDescent="0.3">
      <c r="B11" s="5"/>
      <c r="C11" s="5"/>
      <c r="D11" s="30" t="s">
        <v>18</v>
      </c>
      <c r="E11" s="41"/>
      <c r="F11" s="42" t="s">
        <v>19</v>
      </c>
      <c r="G11" s="50"/>
      <c r="H11" s="50"/>
      <c r="I11" s="51"/>
      <c r="K11" s="202">
        <v>310</v>
      </c>
      <c r="L11" s="168" t="s">
        <v>20</v>
      </c>
      <c r="M11" s="169"/>
      <c r="N11" s="169"/>
      <c r="O11" s="169"/>
      <c r="P11" s="169"/>
      <c r="Q11" s="169"/>
      <c r="R11" s="169"/>
      <c r="S11" s="169"/>
      <c r="T11" s="169"/>
      <c r="U11" s="170"/>
      <c r="V11" s="70">
        <v>182.71</v>
      </c>
      <c r="W11" s="71">
        <f>+(182.71+(523.42*(SQRT(182.71/($H$25*$H$27*$H$15)))))</f>
        <v>203.33259156190962</v>
      </c>
      <c r="X11" s="72">
        <v>22.08</v>
      </c>
      <c r="Y11" s="73">
        <f>+(22.08+(523.42*(SQRT(22.08/($H$25*$H$27*$H$15)))))</f>
        <v>29.249050113408618</v>
      </c>
      <c r="Z11" s="51"/>
      <c r="AA11" s="5"/>
      <c r="AB11" s="6"/>
      <c r="AR11" s="7"/>
    </row>
    <row r="12" spans="1:44" ht="15.6" x14ac:dyDescent="0.3">
      <c r="B12" s="5"/>
      <c r="C12" s="5"/>
      <c r="D12" s="30" t="s">
        <v>21</v>
      </c>
      <c r="E12" s="58"/>
      <c r="F12" s="58"/>
      <c r="G12" s="50"/>
      <c r="H12" s="50"/>
      <c r="I12" s="51"/>
      <c r="K12" s="59">
        <v>320</v>
      </c>
      <c r="L12" s="165" t="s">
        <v>22</v>
      </c>
      <c r="M12" s="166"/>
      <c r="N12" s="166"/>
      <c r="O12" s="166"/>
      <c r="P12" s="166"/>
      <c r="Q12" s="166"/>
      <c r="R12" s="166"/>
      <c r="S12" s="166"/>
      <c r="T12" s="166"/>
      <c r="U12" s="167"/>
      <c r="V12" s="54">
        <v>396.34</v>
      </c>
      <c r="W12" s="45">
        <f>+(396.34+(523.42*(SQRT(396.34/($H$25*$H$27*$H$15)))))</f>
        <v>426.71358356000769</v>
      </c>
      <c r="X12" s="55">
        <v>47.73</v>
      </c>
      <c r="Y12" s="47">
        <f>+(47.73+(523.42*(SQRT(47.73/($H$25*$H$27*$H$15)))))</f>
        <v>58.270417148045766</v>
      </c>
      <c r="Z12" s="60"/>
      <c r="AA12" s="61"/>
      <c r="AB12" s="48"/>
      <c r="AR12" s="7"/>
    </row>
    <row r="13" spans="1:44" ht="15.6" x14ac:dyDescent="0.3">
      <c r="B13" s="5"/>
      <c r="C13" s="5"/>
      <c r="D13" s="30" t="s">
        <v>8</v>
      </c>
      <c r="E13" s="62" t="s">
        <v>8</v>
      </c>
      <c r="F13" s="62"/>
      <c r="G13" s="63"/>
      <c r="H13" s="63"/>
      <c r="I13" s="16"/>
      <c r="K13" s="59">
        <v>330</v>
      </c>
      <c r="L13" s="165" t="s">
        <v>23</v>
      </c>
      <c r="M13" s="166"/>
      <c r="N13" s="166"/>
      <c r="O13" s="166"/>
      <c r="P13" s="166"/>
      <c r="Q13" s="166"/>
      <c r="R13" s="166"/>
      <c r="S13" s="166"/>
      <c r="T13" s="166"/>
      <c r="U13" s="167"/>
      <c r="V13" s="54">
        <v>423.47</v>
      </c>
      <c r="W13" s="76">
        <f>+(423.47+(523.42*(SQRT(423.47/($H$25*$H$27*$H$15)))))</f>
        <v>454.86593390631481</v>
      </c>
      <c r="X13" s="55">
        <v>51.84</v>
      </c>
      <c r="Y13" s="77">
        <f>+(51.84+(523.42*(SQRT(51.84/($H$25*$H$27*$H$15)))))</f>
        <v>62.824861311076504</v>
      </c>
      <c r="Z13" s="51"/>
      <c r="AA13" s="5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7"/>
      <c r="AR13" s="6"/>
    </row>
    <row r="14" spans="1:44" ht="15.6" x14ac:dyDescent="0.3">
      <c r="B14" s="5"/>
      <c r="C14" s="5"/>
      <c r="E14" s="65" t="s">
        <v>24</v>
      </c>
      <c r="F14" s="62" t="s">
        <v>8</v>
      </c>
      <c r="I14" s="16"/>
      <c r="K14" s="64">
        <v>410</v>
      </c>
      <c r="L14" s="165" t="s">
        <v>25</v>
      </c>
      <c r="M14" s="166"/>
      <c r="N14" s="166"/>
      <c r="O14" s="166"/>
      <c r="P14" s="166"/>
      <c r="Q14" s="166"/>
      <c r="R14" s="166"/>
      <c r="S14" s="166"/>
      <c r="T14" s="166"/>
      <c r="U14" s="167"/>
      <c r="V14" s="54">
        <v>101.22</v>
      </c>
      <c r="W14" s="45">
        <f>+(101.22+(523.42*(SQRT(101.22/($H$25*$H$27*$H$15)))))</f>
        <v>116.56953587358515</v>
      </c>
      <c r="X14" s="55">
        <v>26.01</v>
      </c>
      <c r="Y14" s="47">
        <f>+(26.01+(523.42*(SQRT(26.01/($H$25*$H$27*$H$15)))))</f>
        <v>33.790943428679192</v>
      </c>
      <c r="Z14" s="51"/>
      <c r="AA14" s="5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7"/>
      <c r="AR14" s="6"/>
    </row>
    <row r="15" spans="1:44" ht="15.6" x14ac:dyDescent="0.3">
      <c r="B15" s="5"/>
      <c r="C15" s="5"/>
      <c r="D15" s="66" t="s">
        <v>26</v>
      </c>
      <c r="E15" s="67"/>
      <c r="F15" s="67"/>
      <c r="G15" s="68"/>
      <c r="H15" s="69">
        <v>5</v>
      </c>
      <c r="I15" s="16"/>
      <c r="K15" s="59">
        <v>420</v>
      </c>
      <c r="L15" s="165" t="s">
        <v>27</v>
      </c>
      <c r="M15" s="166"/>
      <c r="N15" s="166"/>
      <c r="O15" s="166"/>
      <c r="P15" s="166"/>
      <c r="Q15" s="166"/>
      <c r="R15" s="166"/>
      <c r="S15" s="166"/>
      <c r="T15" s="166"/>
      <c r="U15" s="167"/>
      <c r="V15" s="54">
        <v>74.260000000000005</v>
      </c>
      <c r="W15" s="76">
        <f>+(74.26+(523.42*(SQRT(74.26/($H$25*$H$27*$H$15)))))</f>
        <v>87.407390249436475</v>
      </c>
      <c r="X15" s="55">
        <v>17.43</v>
      </c>
      <c r="Y15" s="77">
        <f>+(17.43+(523.42*(SQRT(17.43/($H$25*$H$27*$H$15)))))</f>
        <v>23.799579686974411</v>
      </c>
      <c r="Z15" s="51"/>
      <c r="AA15" s="5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7"/>
      <c r="AR15" s="6"/>
    </row>
    <row r="16" spans="1:44" ht="15.6" x14ac:dyDescent="0.3">
      <c r="B16" s="5"/>
      <c r="C16" s="5"/>
      <c r="D16" s="74"/>
      <c r="E16" s="75" t="s">
        <v>8</v>
      </c>
      <c r="F16" s="75"/>
      <c r="G16" s="6"/>
      <c r="H16" s="6"/>
      <c r="I16" s="51"/>
      <c r="K16" s="59">
        <v>430</v>
      </c>
      <c r="L16" s="165" t="s">
        <v>28</v>
      </c>
      <c r="M16" s="166"/>
      <c r="N16" s="166"/>
      <c r="O16" s="166"/>
      <c r="P16" s="166"/>
      <c r="Q16" s="166"/>
      <c r="R16" s="166"/>
      <c r="S16" s="166"/>
      <c r="T16" s="166"/>
      <c r="U16" s="167"/>
      <c r="V16" s="54">
        <v>90.04</v>
      </c>
      <c r="W16" s="76">
        <f>+(90.04+(523.42*(SQRT(90.04/($H$25*$H$27*$H$15)))))</f>
        <v>104.51704168342481</v>
      </c>
      <c r="X16" s="55">
        <v>17.899999999999999</v>
      </c>
      <c r="Y16" s="77">
        <f>+(17.9+(523.42*(SQRT(17.9/($H$25*$H$27*$H$15)))))</f>
        <v>24.354886306241809</v>
      </c>
      <c r="Z16" s="51"/>
      <c r="AA16" s="5"/>
      <c r="AB16" s="6"/>
      <c r="AC16" s="78"/>
      <c r="AD16" s="79"/>
      <c r="AE16" s="21"/>
      <c r="AF16" s="21"/>
      <c r="AG16" s="21"/>
      <c r="AH16" s="21"/>
      <c r="AI16" s="80"/>
      <c r="AJ16" s="80"/>
      <c r="AK16" s="21"/>
      <c r="AL16" s="21"/>
      <c r="AM16" s="6"/>
      <c r="AN16" s="6"/>
      <c r="AO16" s="6"/>
      <c r="AP16" s="6"/>
      <c r="AQ16" s="7"/>
      <c r="AR16" s="6"/>
    </row>
    <row r="17" spans="2:44" ht="16.2" thickBot="1" x14ac:dyDescent="0.35">
      <c r="B17" s="5"/>
      <c r="C17" s="5"/>
      <c r="D17" s="30" t="s">
        <v>29</v>
      </c>
      <c r="E17" s="6"/>
      <c r="F17" s="6"/>
      <c r="G17" s="81"/>
      <c r="H17" s="82">
        <f>+(G18+G22+G23)</f>
        <v>99</v>
      </c>
      <c r="I17" s="83"/>
      <c r="K17" s="84">
        <v>440</v>
      </c>
      <c r="L17" s="171" t="s">
        <v>30</v>
      </c>
      <c r="M17" s="172"/>
      <c r="N17" s="172"/>
      <c r="O17" s="172"/>
      <c r="P17" s="172"/>
      <c r="Q17" s="172"/>
      <c r="R17" s="172"/>
      <c r="S17" s="172"/>
      <c r="T17" s="172"/>
      <c r="U17" s="173"/>
      <c r="V17" s="85">
        <v>287.61</v>
      </c>
      <c r="W17" s="86">
        <f>+(287.61+(523.42*(SQRT(287.61/($H$25*$H$27*$H$15)))))</f>
        <v>313.48402972451822</v>
      </c>
      <c r="X17" s="87">
        <v>35.18</v>
      </c>
      <c r="Y17" s="88">
        <f>+(35.18+(523.42*(SQRT(35.18/($H$25*$H$27*$H$15)))))</f>
        <v>44.229196091423617</v>
      </c>
      <c r="Z17" s="51"/>
      <c r="AA17" s="5"/>
      <c r="AB17" s="6"/>
      <c r="AC17" s="89"/>
      <c r="AD17" s="78"/>
      <c r="AE17" s="90"/>
      <c r="AF17" s="90"/>
      <c r="AG17" s="90"/>
      <c r="AH17" s="90"/>
      <c r="AI17" s="91"/>
      <c r="AJ17" s="91"/>
      <c r="AK17" s="91"/>
      <c r="AL17" s="91"/>
      <c r="AM17" s="6"/>
      <c r="AN17" s="6"/>
      <c r="AO17" s="6"/>
      <c r="AP17" s="6"/>
      <c r="AQ17" s="7"/>
      <c r="AR17" s="6"/>
    </row>
    <row r="18" spans="2:44" ht="15.6" x14ac:dyDescent="0.3">
      <c r="B18" s="5"/>
      <c r="C18" s="5"/>
      <c r="D18" s="30" t="s">
        <v>31</v>
      </c>
      <c r="F18" s="92"/>
      <c r="G18" s="93">
        <v>1</v>
      </c>
      <c r="H18" s="94">
        <f>G18/$H$17</f>
        <v>1.0101010101010102E-2</v>
      </c>
      <c r="I18" s="95"/>
      <c r="J18" s="6"/>
      <c r="Z18" s="51"/>
      <c r="AA18" s="5"/>
      <c r="AB18" s="6"/>
      <c r="AC18" s="89"/>
      <c r="AD18" s="78"/>
      <c r="AE18" s="90"/>
      <c r="AF18" s="90"/>
      <c r="AG18" s="90"/>
      <c r="AH18" s="90"/>
      <c r="AI18" s="91"/>
      <c r="AJ18" s="91"/>
      <c r="AK18" s="90"/>
      <c r="AL18" s="90"/>
      <c r="AM18" s="6"/>
      <c r="AN18" s="6"/>
      <c r="AO18" s="6"/>
      <c r="AP18" s="6"/>
      <c r="AQ18" s="7"/>
      <c r="AR18" s="6"/>
    </row>
    <row r="19" spans="2:44" ht="15.6" x14ac:dyDescent="0.3">
      <c r="B19" s="5"/>
      <c r="C19" s="5"/>
      <c r="D19" s="96" t="s">
        <v>32</v>
      </c>
      <c r="E19" s="97"/>
      <c r="F19" s="98"/>
      <c r="G19">
        <v>1</v>
      </c>
      <c r="H19" s="94">
        <f>G19/$H$17</f>
        <v>1.0101010101010102E-2</v>
      </c>
      <c r="I19" s="95"/>
      <c r="J19" s="6"/>
      <c r="Z19" s="51"/>
      <c r="AA19" s="5"/>
      <c r="AB19" s="6"/>
      <c r="AC19" s="89"/>
      <c r="AD19" s="79"/>
      <c r="AE19" s="99"/>
      <c r="AF19" s="99"/>
      <c r="AG19" s="99"/>
      <c r="AH19" s="99"/>
      <c r="AI19" s="99"/>
      <c r="AJ19" s="99"/>
      <c r="AK19" s="99"/>
      <c r="AL19" s="99"/>
      <c r="AM19" s="6"/>
      <c r="AN19" s="6"/>
      <c r="AO19" s="6"/>
      <c r="AP19" s="6"/>
      <c r="AQ19" s="7"/>
      <c r="AR19" s="6"/>
    </row>
    <row r="20" spans="2:44" ht="15.6" x14ac:dyDescent="0.3">
      <c r="B20" s="5"/>
      <c r="C20" s="5"/>
      <c r="D20" s="96" t="s">
        <v>33</v>
      </c>
      <c r="E20" s="97"/>
      <c r="F20" s="98"/>
      <c r="G20">
        <v>11</v>
      </c>
      <c r="H20" s="94">
        <f>G20/$H$17</f>
        <v>0.1111111111111111</v>
      </c>
      <c r="I20" s="95"/>
      <c r="J20" s="6"/>
      <c r="Z20" s="51"/>
      <c r="AA20" s="5"/>
      <c r="AB20" s="6"/>
      <c r="AC20" s="89"/>
      <c r="AD20" s="100"/>
      <c r="AE20" s="100"/>
      <c r="AF20" s="100"/>
      <c r="AG20" s="100"/>
      <c r="AH20" s="100"/>
      <c r="AI20" s="99"/>
      <c r="AJ20" s="99"/>
      <c r="AK20" s="99"/>
      <c r="AL20" s="99"/>
      <c r="AM20" s="6"/>
      <c r="AN20" s="6"/>
      <c r="AO20" s="6"/>
      <c r="AP20" s="6"/>
      <c r="AQ20" s="7"/>
      <c r="AR20" s="6"/>
    </row>
    <row r="21" spans="2:44" ht="16.2" thickBot="1" x14ac:dyDescent="0.35">
      <c r="B21" s="5"/>
      <c r="C21" s="5"/>
      <c r="D21" s="96" t="s">
        <v>34</v>
      </c>
      <c r="E21" s="101"/>
      <c r="F21" s="98"/>
      <c r="G21">
        <v>15</v>
      </c>
      <c r="H21" s="94">
        <f>G21/$H$17</f>
        <v>0.15151515151515152</v>
      </c>
      <c r="I21" s="95"/>
      <c r="J21" s="6"/>
      <c r="Z21" s="51"/>
      <c r="AA21" s="5"/>
      <c r="AB21" s="6"/>
      <c r="AC21" s="89"/>
      <c r="AD21" s="102"/>
      <c r="AE21" s="100"/>
      <c r="AF21" s="100"/>
      <c r="AG21" s="100"/>
      <c r="AH21" s="100"/>
      <c r="AI21" s="99"/>
      <c r="AJ21" s="99"/>
      <c r="AK21" s="103"/>
      <c r="AL21" s="103"/>
      <c r="AM21" s="6"/>
      <c r="AN21" s="6"/>
      <c r="AO21" s="6"/>
      <c r="AP21" s="6"/>
      <c r="AQ21" s="7"/>
      <c r="AR21" s="6"/>
    </row>
    <row r="22" spans="2:44" ht="18.600000000000001" thickBot="1" x14ac:dyDescent="0.4">
      <c r="B22" s="5"/>
      <c r="C22" s="5"/>
      <c r="D22" s="30" t="s">
        <v>35</v>
      </c>
      <c r="F22" s="92"/>
      <c r="G22" s="104">
        <f>SUM(G19:G21)</f>
        <v>27</v>
      </c>
      <c r="H22" s="94">
        <f>G22/H17</f>
        <v>0.27272727272727271</v>
      </c>
      <c r="I22" s="51"/>
      <c r="J22" s="6"/>
      <c r="K22" s="174" t="s">
        <v>36</v>
      </c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6"/>
      <c r="Z22" s="51"/>
      <c r="AA22" s="5"/>
      <c r="AB22" s="6"/>
      <c r="AC22" s="89"/>
      <c r="AD22" s="105"/>
      <c r="AE22" s="99"/>
      <c r="AF22" s="99"/>
      <c r="AG22" s="99"/>
      <c r="AH22" s="99"/>
      <c r="AI22" s="99"/>
      <c r="AJ22" s="99"/>
      <c r="AK22" s="99"/>
      <c r="AL22" s="99"/>
      <c r="AM22" s="6"/>
      <c r="AN22" s="6"/>
      <c r="AO22" s="6"/>
      <c r="AP22" s="6"/>
      <c r="AQ22" s="7"/>
      <c r="AR22" s="6"/>
    </row>
    <row r="23" spans="2:44" ht="15.6" x14ac:dyDescent="0.3">
      <c r="B23" s="5"/>
      <c r="C23" s="5"/>
      <c r="D23" s="30" t="s">
        <v>37</v>
      </c>
      <c r="F23" s="92"/>
      <c r="G23" s="93">
        <v>71</v>
      </c>
      <c r="H23" s="94">
        <f>G23/H17</f>
        <v>0.71717171717171713</v>
      </c>
      <c r="I23" s="83"/>
      <c r="J23" s="6"/>
      <c r="K23" s="177" t="s">
        <v>2</v>
      </c>
      <c r="L23" s="178"/>
      <c r="M23" s="178"/>
      <c r="N23" s="178"/>
      <c r="O23" s="178"/>
      <c r="P23" s="178"/>
      <c r="Q23" s="178"/>
      <c r="R23" s="178"/>
      <c r="S23" s="178"/>
      <c r="T23" s="178"/>
      <c r="U23" s="179"/>
      <c r="V23" s="183" t="s">
        <v>3</v>
      </c>
      <c r="W23" s="184"/>
      <c r="X23" s="185" t="s">
        <v>4</v>
      </c>
      <c r="Y23" s="186"/>
      <c r="Z23" s="51"/>
      <c r="AA23" s="5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7"/>
      <c r="AR23" s="6"/>
    </row>
    <row r="24" spans="2:44" ht="16.2" thickBot="1" x14ac:dyDescent="0.35">
      <c r="B24" s="5"/>
      <c r="C24" s="5"/>
      <c r="D24" s="6"/>
      <c r="E24" s="6"/>
      <c r="F24" s="6"/>
      <c r="G24" s="6"/>
      <c r="H24" s="106"/>
      <c r="I24" s="95"/>
      <c r="J24" s="6"/>
      <c r="K24" s="180"/>
      <c r="L24" s="181"/>
      <c r="M24" s="181"/>
      <c r="N24" s="181"/>
      <c r="O24" s="181"/>
      <c r="P24" s="181"/>
      <c r="Q24" s="181"/>
      <c r="R24" s="181"/>
      <c r="S24" s="181"/>
      <c r="T24" s="181"/>
      <c r="U24" s="182"/>
      <c r="V24" s="107" t="s">
        <v>5</v>
      </c>
      <c r="W24" s="108" t="s">
        <v>6</v>
      </c>
      <c r="X24" s="109" t="s">
        <v>5</v>
      </c>
      <c r="Y24" s="110" t="s">
        <v>6</v>
      </c>
      <c r="Z24" s="111"/>
      <c r="AA24" s="112"/>
      <c r="AB24" s="113"/>
      <c r="AC24" s="113"/>
      <c r="AD24" s="113"/>
      <c r="AE24" s="113"/>
      <c r="AF24" s="113"/>
      <c r="AG24" s="113"/>
      <c r="AH24" s="113"/>
      <c r="AI24" s="113"/>
      <c r="AJ24" s="113"/>
      <c r="AK24" s="114"/>
      <c r="AL24" s="114"/>
      <c r="AM24" s="114"/>
      <c r="AN24" s="114"/>
      <c r="AO24" s="114"/>
      <c r="AP24" s="114"/>
      <c r="AQ24" s="7"/>
      <c r="AR24" s="6"/>
    </row>
    <row r="25" spans="2:44" ht="15.6" x14ac:dyDescent="0.3">
      <c r="B25" s="5"/>
      <c r="C25" s="5"/>
      <c r="D25" s="30" t="s">
        <v>38</v>
      </c>
      <c r="E25" s="6"/>
      <c r="F25" s="6"/>
      <c r="G25" s="115"/>
      <c r="H25" s="69">
        <v>10700</v>
      </c>
      <c r="I25" s="95"/>
      <c r="J25" s="6"/>
      <c r="K25" s="150" t="s">
        <v>39</v>
      </c>
      <c r="L25" s="151"/>
      <c r="M25" s="151"/>
      <c r="N25" s="151"/>
      <c r="O25" s="151"/>
      <c r="P25" s="151"/>
      <c r="Q25" s="151"/>
      <c r="R25" s="151"/>
      <c r="S25" s="151"/>
      <c r="T25" s="151"/>
      <c r="U25" s="152"/>
      <c r="V25" s="116">
        <v>350.39</v>
      </c>
      <c r="W25" s="117">
        <f>+(350.39+(523.42*(SQRT(350.39/($H$25*$H$27*$H$15)))))</f>
        <v>378.94866704692276</v>
      </c>
      <c r="X25" s="118">
        <v>39.520000000000003</v>
      </c>
      <c r="Y25" s="119">
        <f>+(39.52+(523.42*(SQRT(39.52/($H$25*$H$27*$H$15)))))</f>
        <v>49.111147051572814</v>
      </c>
      <c r="Z25" s="120"/>
      <c r="AA25" s="9"/>
      <c r="AB25" s="80"/>
      <c r="AC25" s="80"/>
      <c r="AD25" s="80"/>
      <c r="AE25" s="80"/>
      <c r="AF25" s="80"/>
      <c r="AG25" s="80"/>
      <c r="AH25" s="80"/>
      <c r="AI25" s="113"/>
      <c r="AJ25" s="113"/>
      <c r="AK25" s="114"/>
      <c r="AL25" s="114"/>
      <c r="AM25" s="114"/>
      <c r="AN25" s="114"/>
      <c r="AO25" s="114"/>
      <c r="AP25" s="114"/>
      <c r="AQ25" s="7"/>
      <c r="AR25" s="6"/>
    </row>
    <row r="26" spans="2:44" ht="16.2" thickBot="1" x14ac:dyDescent="0.35">
      <c r="B26" s="5"/>
      <c r="C26" s="5"/>
      <c r="D26" s="6"/>
      <c r="E26" s="6"/>
      <c r="F26" s="6"/>
      <c r="G26" s="6"/>
      <c r="H26" s="106"/>
      <c r="I26" s="83"/>
      <c r="J26" s="6"/>
      <c r="K26" s="153" t="s">
        <v>40</v>
      </c>
      <c r="L26" s="154"/>
      <c r="M26" s="154"/>
      <c r="N26" s="154"/>
      <c r="O26" s="154"/>
      <c r="P26" s="154"/>
      <c r="Q26" s="154"/>
      <c r="R26" s="154"/>
      <c r="S26" s="154"/>
      <c r="T26" s="154"/>
      <c r="U26" s="155"/>
      <c r="V26" s="121">
        <v>98.66</v>
      </c>
      <c r="W26" s="122">
        <f>+(98.66+(523.42*(SQRT(98.66/($H$25*$H$27*$H$15)))))</f>
        <v>113.81418683221433</v>
      </c>
      <c r="X26" s="123">
        <v>22.63</v>
      </c>
      <c r="Y26" s="124">
        <f>+(22.63+(523.42*(SQRT(22.63/($H$25*$H$27*$H$15)))))</f>
        <v>29.887789342992512</v>
      </c>
      <c r="Z26" s="125"/>
      <c r="AA26" s="126"/>
      <c r="AB26" s="91"/>
      <c r="AC26" s="91"/>
      <c r="AD26" s="91"/>
      <c r="AE26" s="91"/>
      <c r="AF26" s="113"/>
      <c r="AG26" s="113"/>
      <c r="AH26" s="113"/>
      <c r="AI26" s="113"/>
      <c r="AJ26" s="113"/>
      <c r="AK26" s="114"/>
      <c r="AL26" s="114"/>
      <c r="AM26" s="114"/>
      <c r="AN26" s="114"/>
      <c r="AO26" s="114"/>
      <c r="AP26" s="114"/>
      <c r="AQ26" s="7"/>
      <c r="AR26" s="6"/>
    </row>
    <row r="27" spans="2:44" ht="15.6" x14ac:dyDescent="0.3">
      <c r="B27" s="5"/>
      <c r="C27" s="5"/>
      <c r="D27" s="30" t="s">
        <v>41</v>
      </c>
      <c r="E27" s="6"/>
      <c r="F27" s="6"/>
      <c r="G27" s="115"/>
      <c r="H27" s="69">
        <v>2.2000000000000002</v>
      </c>
      <c r="I27" s="95"/>
      <c r="J27" s="6"/>
      <c r="K27" s="127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9"/>
      <c r="W27" s="128"/>
      <c r="X27" s="128"/>
      <c r="Y27" s="128"/>
      <c r="Z27" s="125"/>
      <c r="AA27" s="126"/>
      <c r="AB27" s="91"/>
      <c r="AC27" s="91"/>
      <c r="AD27" s="91"/>
      <c r="AE27" s="91"/>
      <c r="AF27" s="113"/>
      <c r="AG27" s="113"/>
      <c r="AH27" s="113"/>
      <c r="AI27" s="113"/>
      <c r="AJ27" s="113"/>
      <c r="AK27" s="114"/>
      <c r="AL27" s="114"/>
      <c r="AM27" s="114"/>
      <c r="AN27" s="114"/>
      <c r="AO27" s="114"/>
      <c r="AP27" s="114"/>
      <c r="AQ27" s="7"/>
      <c r="AR27" s="6"/>
    </row>
    <row r="28" spans="2:44" ht="15.6" x14ac:dyDescent="0.3">
      <c r="B28" s="5"/>
      <c r="C28" s="5"/>
      <c r="I28" s="95"/>
      <c r="J28" s="6"/>
      <c r="K28" s="127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1"/>
      <c r="AA28" s="132"/>
      <c r="AB28" s="99"/>
      <c r="AC28" s="99"/>
      <c r="AD28" s="99"/>
      <c r="AE28" s="99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7"/>
      <c r="AR28" s="7"/>
    </row>
    <row r="29" spans="2:44" ht="16.2" thickBot="1" x14ac:dyDescent="0.35">
      <c r="B29" s="5"/>
      <c r="C29" s="5"/>
      <c r="D29" s="30" t="s">
        <v>42</v>
      </c>
      <c r="E29" s="6"/>
      <c r="F29" s="6"/>
      <c r="G29" s="115"/>
      <c r="H29" s="133">
        <f>(H17/H15)*100000000/(H25*365*H27)</f>
        <v>230.44424529509666</v>
      </c>
      <c r="I29" s="134"/>
      <c r="J29" s="6"/>
      <c r="Z29" s="135"/>
      <c r="AA29" s="136"/>
      <c r="AB29" s="100"/>
      <c r="AC29" s="100"/>
      <c r="AD29" s="100"/>
      <c r="AE29" s="100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6"/>
      <c r="AQ29" s="7"/>
      <c r="AR29" s="7"/>
    </row>
    <row r="30" spans="2:44" ht="18" x14ac:dyDescent="0.35">
      <c r="B30" s="5"/>
      <c r="C30" s="5"/>
      <c r="D30" s="137" t="s">
        <v>43</v>
      </c>
      <c r="E30" s="6"/>
      <c r="F30" s="6"/>
      <c r="G30" s="6"/>
      <c r="H30" s="6"/>
      <c r="I30" s="51"/>
      <c r="J30" s="6"/>
      <c r="K30" s="156" t="s">
        <v>44</v>
      </c>
      <c r="L30" s="157"/>
      <c r="M30" s="157"/>
      <c r="N30" s="157"/>
      <c r="O30" s="157"/>
      <c r="P30" s="157"/>
      <c r="Q30" s="157"/>
      <c r="R30" s="157"/>
      <c r="S30" s="157"/>
      <c r="T30" s="158"/>
      <c r="Z30" s="135"/>
      <c r="AA30" s="136"/>
      <c r="AB30" s="100"/>
      <c r="AC30" s="100"/>
      <c r="AD30" s="100"/>
      <c r="AE30" s="100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6"/>
      <c r="AQ30" s="7"/>
      <c r="AR30" s="7"/>
    </row>
    <row r="31" spans="2:44" ht="15.6" x14ac:dyDescent="0.3">
      <c r="B31" s="5"/>
      <c r="C31" s="5"/>
      <c r="D31" s="30" t="s">
        <v>45</v>
      </c>
      <c r="E31" s="6"/>
      <c r="F31" s="6"/>
      <c r="G31" s="6"/>
      <c r="H31" s="138">
        <f>((G18+G19+G20)/H15)*100000000/(H25*365*H27)</f>
        <v>30.26035544279047</v>
      </c>
      <c r="I31" s="51"/>
      <c r="J31" s="6"/>
      <c r="K31" s="159" t="s">
        <v>46</v>
      </c>
      <c r="L31" s="160"/>
      <c r="M31" s="160"/>
      <c r="N31" s="160"/>
      <c r="O31" s="160"/>
      <c r="P31" s="160"/>
      <c r="Q31" s="160"/>
      <c r="R31" s="160"/>
      <c r="S31" s="160"/>
      <c r="T31" s="161"/>
      <c r="Z31" s="131"/>
      <c r="AA31" s="132"/>
      <c r="AB31" s="99"/>
      <c r="AC31" s="99"/>
      <c r="AD31" s="99"/>
      <c r="AE31" s="99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7"/>
      <c r="AR31" s="7"/>
    </row>
    <row r="32" spans="2:44" ht="15.6" x14ac:dyDescent="0.3">
      <c r="B32" s="5"/>
      <c r="C32" s="5"/>
      <c r="D32" s="137" t="s">
        <v>47</v>
      </c>
      <c r="E32" s="6"/>
      <c r="F32" s="6"/>
      <c r="G32" s="6"/>
      <c r="H32" s="6"/>
      <c r="I32" s="51"/>
      <c r="J32" s="6"/>
      <c r="K32" s="159" t="s">
        <v>48</v>
      </c>
      <c r="L32" s="160"/>
      <c r="M32" s="160"/>
      <c r="N32" s="160"/>
      <c r="O32" s="160"/>
      <c r="P32" s="160"/>
      <c r="Q32" s="160"/>
      <c r="R32" s="160"/>
      <c r="S32" s="160"/>
      <c r="T32" s="161"/>
      <c r="Z32" s="51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7"/>
      <c r="AR32" s="7"/>
    </row>
    <row r="33" spans="2:44" ht="16.2" thickBot="1" x14ac:dyDescent="0.35">
      <c r="B33" s="5"/>
      <c r="C33" s="5"/>
      <c r="D33" s="30"/>
      <c r="E33" s="6"/>
      <c r="F33" s="6"/>
      <c r="G33" s="6"/>
      <c r="H33" s="138"/>
      <c r="I33" s="51"/>
      <c r="J33" s="6"/>
      <c r="K33" s="162" t="s">
        <v>49</v>
      </c>
      <c r="L33" s="163"/>
      <c r="M33" s="163"/>
      <c r="N33" s="163"/>
      <c r="O33" s="163"/>
      <c r="P33" s="163"/>
      <c r="Q33" s="163"/>
      <c r="R33" s="163"/>
      <c r="S33" s="163"/>
      <c r="T33" s="164"/>
      <c r="Z33" s="51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7"/>
      <c r="AR33" s="7"/>
    </row>
    <row r="34" spans="2:44" ht="15.6" x14ac:dyDescent="0.3">
      <c r="B34" s="5"/>
      <c r="C34" s="5"/>
      <c r="D34" s="137"/>
      <c r="E34" s="6"/>
      <c r="F34" s="6"/>
      <c r="G34" s="6"/>
      <c r="H34" s="139"/>
      <c r="I34" s="51"/>
      <c r="J34" s="6"/>
      <c r="K34" s="140"/>
      <c r="L34" s="141"/>
      <c r="M34" s="141"/>
      <c r="N34" s="141"/>
      <c r="O34" s="141"/>
      <c r="P34" s="141"/>
      <c r="Q34" s="141"/>
      <c r="R34" s="141"/>
      <c r="S34" s="141"/>
      <c r="Z34" s="51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7"/>
      <c r="AR34" s="7"/>
    </row>
    <row r="35" spans="2:44" ht="15.6" x14ac:dyDescent="0.3">
      <c r="B35" s="5"/>
      <c r="C35" s="5"/>
      <c r="D35" s="30"/>
      <c r="E35" s="6"/>
      <c r="F35" s="6"/>
      <c r="G35" s="115"/>
      <c r="H35" s="133"/>
      <c r="I35" s="51"/>
      <c r="J35" s="6"/>
      <c r="K35" s="140"/>
      <c r="L35" s="141"/>
      <c r="M35" s="141"/>
      <c r="N35" s="141"/>
      <c r="O35" s="141"/>
      <c r="P35" s="141"/>
      <c r="Q35" s="141"/>
      <c r="R35" s="141"/>
      <c r="S35" s="141"/>
      <c r="Z35" s="51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7"/>
      <c r="AR35" s="7"/>
    </row>
    <row r="36" spans="2:44" ht="15.6" x14ac:dyDescent="0.3">
      <c r="B36" s="5"/>
      <c r="C36" s="5" t="s">
        <v>8</v>
      </c>
      <c r="D36" s="137"/>
      <c r="E36" s="6"/>
      <c r="F36" s="6"/>
      <c r="G36" s="6"/>
      <c r="H36" s="6"/>
      <c r="I36" s="51"/>
      <c r="J36" s="6"/>
      <c r="K36" s="140"/>
      <c r="L36" s="141"/>
      <c r="M36" s="141"/>
      <c r="N36" s="141"/>
      <c r="O36" s="141"/>
      <c r="P36" s="141"/>
      <c r="Q36" s="141"/>
      <c r="R36" s="141"/>
      <c r="S36" s="141"/>
      <c r="Z36" s="51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7"/>
      <c r="AR36" s="7"/>
    </row>
    <row r="37" spans="2:44" ht="15.6" x14ac:dyDescent="0.3">
      <c r="B37" s="5"/>
      <c r="C37" s="5"/>
      <c r="D37" s="30"/>
      <c r="E37" s="6"/>
      <c r="F37" s="6"/>
      <c r="G37" s="6"/>
      <c r="H37" s="138"/>
      <c r="I37" s="27"/>
      <c r="J37" s="6"/>
      <c r="Z37" s="51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7"/>
      <c r="AR37" s="7"/>
    </row>
    <row r="38" spans="2:44" x14ac:dyDescent="0.3">
      <c r="B38" s="5"/>
      <c r="C38" s="142"/>
      <c r="D38" s="137"/>
      <c r="E38" s="6"/>
      <c r="F38" s="6"/>
      <c r="G38" s="6"/>
      <c r="H38" s="6"/>
      <c r="I38" s="27"/>
      <c r="J38" s="21"/>
      <c r="Z38" s="51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7"/>
      <c r="AR38" s="7"/>
    </row>
    <row r="39" spans="2:44" ht="15.6" x14ac:dyDescent="0.3">
      <c r="B39" s="5"/>
      <c r="C39" s="142"/>
      <c r="D39" s="30"/>
      <c r="E39" s="6"/>
      <c r="F39" s="6"/>
      <c r="G39" s="6"/>
      <c r="H39" s="138"/>
      <c r="I39" s="27"/>
      <c r="J39" s="21"/>
      <c r="Z39" s="51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7"/>
      <c r="AR39" s="7"/>
    </row>
    <row r="40" spans="2:44" ht="15.6" x14ac:dyDescent="0.3">
      <c r="B40" s="5"/>
      <c r="C40" s="142"/>
      <c r="D40" s="137"/>
      <c r="E40" s="6"/>
      <c r="F40" s="6"/>
      <c r="G40" s="6"/>
      <c r="H40" s="139"/>
      <c r="I40" s="27"/>
      <c r="J40" s="21"/>
      <c r="Z40" s="51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7"/>
      <c r="AR40" s="7"/>
    </row>
    <row r="41" spans="2:44" ht="15.6" x14ac:dyDescent="0.3">
      <c r="B41" s="5"/>
      <c r="C41" s="142"/>
      <c r="D41" s="30"/>
      <c r="E41" s="6"/>
      <c r="F41" s="6"/>
      <c r="G41" s="6"/>
      <c r="H41" s="138"/>
      <c r="I41" s="27"/>
      <c r="J41" s="21"/>
      <c r="Z41" s="51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7"/>
      <c r="AR41" s="7"/>
    </row>
    <row r="42" spans="2:44" ht="15.6" x14ac:dyDescent="0.3">
      <c r="B42" s="5"/>
      <c r="C42" s="142"/>
      <c r="D42" s="137"/>
      <c r="E42" s="6"/>
      <c r="F42" s="6"/>
      <c r="G42" s="6"/>
      <c r="H42" s="139"/>
      <c r="I42" s="27"/>
      <c r="J42" s="21"/>
      <c r="Z42" s="51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7"/>
      <c r="AR42" s="7"/>
    </row>
    <row r="43" spans="2:44" ht="15" thickBot="1" x14ac:dyDescent="0.35">
      <c r="B43" s="5"/>
      <c r="C43" s="143"/>
      <c r="D43" s="144"/>
      <c r="E43" s="144"/>
      <c r="F43" s="144"/>
      <c r="G43" s="144"/>
      <c r="H43" s="144"/>
      <c r="I43" s="145"/>
      <c r="J43" s="21"/>
      <c r="Z43" s="51"/>
      <c r="AA43" s="5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7"/>
      <c r="AR43" s="7"/>
    </row>
    <row r="44" spans="2:44" x14ac:dyDescent="0.3">
      <c r="B44" s="5"/>
      <c r="C44" s="99"/>
      <c r="J44" s="99"/>
      <c r="Z44" s="51"/>
      <c r="AA44" s="5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7"/>
      <c r="AR44" s="7"/>
    </row>
    <row r="45" spans="2:44" ht="15" thickBot="1" x14ac:dyDescent="0.3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8"/>
      <c r="AA45" s="5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7"/>
    </row>
    <row r="46" spans="2:44" x14ac:dyDescent="0.3">
      <c r="B46" s="6"/>
      <c r="AQ46" s="6"/>
      <c r="AR46" s="7"/>
    </row>
    <row r="47" spans="2:44" x14ac:dyDescent="0.3">
      <c r="B47" s="6"/>
      <c r="AQ47" s="6"/>
      <c r="AR47" s="7"/>
    </row>
    <row r="48" spans="2:44" x14ac:dyDescent="0.3">
      <c r="B48" s="6"/>
      <c r="C48" s="149"/>
      <c r="AQ48" s="6"/>
      <c r="AR48" s="7"/>
    </row>
    <row r="49" spans="2:44" x14ac:dyDescent="0.3">
      <c r="B49" s="6"/>
      <c r="C49" s="149"/>
      <c r="AQ49" s="7"/>
      <c r="AR49" s="7"/>
    </row>
    <row r="50" spans="2:44" x14ac:dyDescent="0.3">
      <c r="B50" s="6"/>
      <c r="AQ50" s="6"/>
      <c r="AR50" s="6"/>
    </row>
    <row r="51" spans="2:44" x14ac:dyDescent="0.3">
      <c r="B51" s="6"/>
      <c r="AQ51" s="6"/>
      <c r="AR51" s="6"/>
    </row>
    <row r="52" spans="2:44" x14ac:dyDescent="0.3">
      <c r="B52" s="6"/>
      <c r="AQ52" s="6"/>
      <c r="AR52" s="6"/>
    </row>
    <row r="53" spans="2:44" x14ac:dyDescent="0.3">
      <c r="B53" s="6"/>
      <c r="AQ53" s="6"/>
      <c r="AR53" s="6"/>
    </row>
    <row r="54" spans="2:44" x14ac:dyDescent="0.3">
      <c r="B54" s="6"/>
      <c r="AQ54" s="6"/>
      <c r="AR54" s="6"/>
    </row>
    <row r="55" spans="2:44" x14ac:dyDescent="0.3">
      <c r="B55" s="6"/>
      <c r="AQ55" s="6"/>
      <c r="AR55" s="6"/>
    </row>
    <row r="56" spans="2:44" x14ac:dyDescent="0.3">
      <c r="B56" s="6"/>
      <c r="AQ56" s="6"/>
      <c r="AR56" s="6"/>
    </row>
    <row r="57" spans="2:44" x14ac:dyDescent="0.3">
      <c r="B57" s="6"/>
      <c r="AQ57" s="6"/>
      <c r="AR57" s="6"/>
    </row>
    <row r="58" spans="2:44" x14ac:dyDescent="0.3">
      <c r="B58" s="6"/>
      <c r="AQ58" s="6"/>
      <c r="AR58" s="6"/>
    </row>
    <row r="59" spans="2:44" x14ac:dyDescent="0.3">
      <c r="AQ59" s="6"/>
      <c r="AR59" s="6"/>
    </row>
    <row r="60" spans="2:44" x14ac:dyDescent="0.3">
      <c r="AQ60" s="6"/>
    </row>
    <row r="61" spans="2:44" x14ac:dyDescent="0.3">
      <c r="AQ61" s="6"/>
    </row>
    <row r="62" spans="2:44" x14ac:dyDescent="0.3">
      <c r="AQ62" s="6"/>
    </row>
    <row r="63" spans="2:44" x14ac:dyDescent="0.3">
      <c r="AQ63" s="6"/>
    </row>
    <row r="64" spans="2:44" x14ac:dyDescent="0.3">
      <c r="AQ64" s="6"/>
    </row>
    <row r="65" spans="43:43" x14ac:dyDescent="0.3">
      <c r="AQ65" s="6"/>
    </row>
  </sheetData>
  <mergeCells count="26">
    <mergeCell ref="L13:U13"/>
    <mergeCell ref="K3:Y3"/>
    <mergeCell ref="K4:U5"/>
    <mergeCell ref="V4:W4"/>
    <mergeCell ref="X4:Y4"/>
    <mergeCell ref="L6:U6"/>
    <mergeCell ref="L7:U7"/>
    <mergeCell ref="L8:U8"/>
    <mergeCell ref="L9:U9"/>
    <mergeCell ref="L10:U10"/>
    <mergeCell ref="L11:U11"/>
    <mergeCell ref="L12:U12"/>
    <mergeCell ref="K33:T33"/>
    <mergeCell ref="L14:U14"/>
    <mergeCell ref="L15:U15"/>
    <mergeCell ref="L16:U16"/>
    <mergeCell ref="L17:U17"/>
    <mergeCell ref="K22:Y22"/>
    <mergeCell ref="K23:U24"/>
    <mergeCell ref="V23:W23"/>
    <mergeCell ref="X23:Y23"/>
    <mergeCell ref="K25:U25"/>
    <mergeCell ref="K26:U26"/>
    <mergeCell ref="K30:T30"/>
    <mergeCell ref="K31:T31"/>
    <mergeCell ref="K32:T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BRINKER, LEANN NICOL</dc:creator>
  <cp:lastModifiedBy>dots1n</cp:lastModifiedBy>
  <dcterms:created xsi:type="dcterms:W3CDTF">2017-07-10T17:42:11Z</dcterms:created>
  <dcterms:modified xsi:type="dcterms:W3CDTF">2017-07-20T14:32:29Z</dcterms:modified>
</cp:coreProperties>
</file>