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15" yWindow="-270" windowWidth="18135" windowHeight="12450" tabRatio="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B21" i="1" l="1"/>
  <c r="AB20" i="1"/>
  <c r="AH21" i="1"/>
  <c r="AF21" i="1"/>
  <c r="AG21" i="1"/>
  <c r="AG22" i="1" s="1"/>
  <c r="AG16" i="1"/>
  <c r="AG17" i="1"/>
  <c r="AG15" i="1"/>
  <c r="S10" i="1"/>
  <c r="T10" i="1" s="1"/>
  <c r="S11" i="1"/>
  <c r="S15" i="1"/>
  <c r="Q20" i="1"/>
  <c r="O20" i="1"/>
  <c r="G17" i="1"/>
  <c r="G16" i="1"/>
  <c r="F10" i="1"/>
  <c r="I23" i="1"/>
  <c r="Q22" i="1"/>
  <c r="J22" i="1"/>
  <c r="N21" i="1"/>
  <c r="U18" i="1"/>
  <c r="I20" i="1"/>
  <c r="E18" i="1"/>
  <c r="M14" i="1"/>
  <c r="U11" i="1"/>
  <c r="E11" i="1"/>
  <c r="V10" i="1"/>
  <c r="D10" i="1"/>
  <c r="I7" i="1"/>
  <c r="D7" i="1"/>
  <c r="Q6" i="1"/>
  <c r="J6" i="1"/>
  <c r="D6" i="1"/>
  <c r="I5" i="1"/>
  <c r="F15" i="1" l="1"/>
  <c r="E12" i="1" s="1"/>
  <c r="S6" i="1"/>
  <c r="L6" i="1"/>
  <c r="U12" i="1"/>
  <c r="L22" i="1"/>
  <c r="AH16" i="1" l="1"/>
  <c r="AH22" i="1"/>
  <c r="AF22" i="1"/>
  <c r="AH11" i="1" l="1"/>
  <c r="AH15" i="1"/>
  <c r="AH27" i="1"/>
</calcChain>
</file>

<file path=xl/sharedStrings.xml><?xml version="1.0" encoding="utf-8"?>
<sst xmlns="http://schemas.openxmlformats.org/spreadsheetml/2006/main" count="48" uniqueCount="25">
  <si>
    <t>PM PEAK HOUR</t>
  </si>
  <si>
    <t>TOTAL ENTERING VOLUME</t>
  </si>
  <si>
    <t>PED:</t>
  </si>
  <si>
    <t>BIKE:</t>
  </si>
  <si>
    <t>$</t>
  </si>
  <si>
    <t>M</t>
  </si>
  <si>
    <t>#</t>
  </si>
  <si>
    <t>!</t>
  </si>
  <si>
    <t>&lt;</t>
  </si>
  <si>
    <t>&gt;</t>
  </si>
  <si>
    <t>N</t>
  </si>
  <si>
    <t>O</t>
  </si>
  <si>
    <t>North</t>
  </si>
  <si>
    <t>"</t>
  </si>
  <si>
    <t>=</t>
  </si>
  <si>
    <t>?</t>
  </si>
  <si>
    <t>L</t>
  </si>
  <si>
    <t>:</t>
  </si>
  <si>
    <t>;</t>
  </si>
  <si>
    <t>NB On</t>
  </si>
  <si>
    <t>PM Peak Hour Summary - Difference between 2013 and 2011 counts</t>
  </si>
  <si>
    <t>Wis 96</t>
  </si>
  <si>
    <t>Count</t>
  </si>
  <si>
    <t>Forecast</t>
  </si>
  <si>
    <t>PM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</si>
</sst>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\,\ mmmm\ dd\,\ yyyy"/>
    <numFmt numFmtId="165" formatCode="0.0"/>
    <numFmt numFmtId="166" formatCode="0_);[Red]\(0\)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Calibri"/>
      <family val="2"/>
    </font>
    <font>
      <sz val="11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6"/>
      <name val="Wingdings 3"/>
      <family val="1"/>
      <charset val="2"/>
    </font>
    <font>
      <i/>
      <sz val="14"/>
      <name val="Calibri"/>
      <family val="2"/>
    </font>
    <font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8" xfId="0" applyBorder="1"/>
    <xf numFmtId="0" fontId="9" fillId="0" borderId="0" xfId="0" applyFont="1"/>
    <xf numFmtId="0" fontId="10" fillId="0" borderId="0" xfId="0" applyFont="1"/>
    <xf numFmtId="0" fontId="10" fillId="0" borderId="8" xfId="0" applyFont="1" applyBorder="1"/>
    <xf numFmtId="165" fontId="10" fillId="0" borderId="0" xfId="0" applyNumberFormat="1" applyFont="1"/>
    <xf numFmtId="166" fontId="11" fillId="0" borderId="0" xfId="0" applyNumberFormat="1" applyFont="1" applyAlignment="1">
      <alignment horizontal="center" vertical="center"/>
    </xf>
    <xf numFmtId="1" fontId="12" fillId="0" borderId="20" xfId="0" applyNumberFormat="1" applyFont="1" applyBorder="1"/>
    <xf numFmtId="1" fontId="11" fillId="0" borderId="20" xfId="0" applyNumberFormat="1" applyFont="1" applyBorder="1"/>
    <xf numFmtId="0" fontId="10" fillId="0" borderId="20" xfId="0" applyFont="1" applyBorder="1"/>
    <xf numFmtId="0" fontId="10" fillId="0" borderId="10" xfId="0" applyFont="1" applyBorder="1"/>
    <xf numFmtId="0" fontId="10" fillId="0" borderId="11" xfId="0" applyFont="1" applyBorder="1"/>
    <xf numFmtId="167" fontId="11" fillId="0" borderId="0" xfId="0" applyNumberFormat="1" applyFont="1" applyAlignment="1">
      <alignment horizontal="center" vertical="center"/>
    </xf>
    <xf numFmtId="0" fontId="11" fillId="0" borderId="0" xfId="1" applyNumberFormat="1" applyFont="1"/>
    <xf numFmtId="0" fontId="10" fillId="0" borderId="0" xfId="0" applyNumberFormat="1" applyFont="1"/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180"/>
    </xf>
    <xf numFmtId="0" fontId="4" fillId="3" borderId="0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5" fillId="2" borderId="5" xfId="0" applyFont="1" applyFill="1" applyBorder="1" applyAlignment="1">
      <alignment horizontal="center" vertical="center" textRotation="180" wrapText="1"/>
    </xf>
    <xf numFmtId="0" fontId="5" fillId="2" borderId="0" xfId="0" applyFont="1" applyFill="1" applyBorder="1" applyAlignment="1">
      <alignment horizontal="center" vertical="center" textRotation="180" wrapText="1"/>
    </xf>
    <xf numFmtId="0" fontId="5" fillId="2" borderId="10" xfId="0" applyFont="1" applyFill="1" applyBorder="1" applyAlignment="1">
      <alignment horizontal="center" vertical="center" textRotation="180" wrapText="1"/>
    </xf>
    <xf numFmtId="3" fontId="5" fillId="4" borderId="0" xfId="0" applyNumberFormat="1" applyFont="1" applyFill="1" applyBorder="1" applyAlignment="1">
      <alignment horizontal="center" vertical="center" textRotation="90"/>
    </xf>
    <xf numFmtId="3" fontId="5" fillId="4" borderId="0" xfId="0" applyNumberFormat="1" applyFont="1" applyFill="1" applyBorder="1" applyAlignment="1">
      <alignment horizontal="center" vertical="center" textRotation="18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7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0" fillId="0" borderId="7" xfId="0" applyFont="1" applyBorder="1"/>
    <xf numFmtId="0" fontId="0" fillId="0" borderId="20" xfId="0" applyBorder="1"/>
  </cellXfs>
  <cellStyles count="2">
    <cellStyle name="Normal" xfId="0" builtinId="0"/>
    <cellStyle name="Percent" xfId="1" builtinId="5"/>
  </cellStyles>
  <dxfs count="2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USH41NBRAMPS@STH96(WisconsinAv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Tab"/>
      <sheetName val="Base Information"/>
      <sheetName val="Peak Hour Graphical Summary"/>
      <sheetName val="Peak Hour Volume Summary"/>
      <sheetName val="Hourly Volume Summary"/>
      <sheetName val="15-Min All Vehicle"/>
      <sheetName val="15-Min Automobiles"/>
      <sheetName val="15-Min SU-Truck"/>
      <sheetName val="15-Min Semi-Truck"/>
      <sheetName val="15-Min Heavy Vehicle"/>
      <sheetName val="15-Min Hvy Veh Percentages"/>
      <sheetName val="Ped &amp; Bicycle"/>
      <sheetName val="UTDF"/>
      <sheetName val="Daily &amp; Seasonally Adj 15 min"/>
      <sheetName val="Daily &amp; Seasonal Factors"/>
      <sheetName val="Expansion Factors"/>
      <sheetName val="Calculations"/>
    </sheetNames>
    <sheetDataSet>
      <sheetData sheetId="0"/>
      <sheetData sheetId="1">
        <row r="13">
          <cell r="J13" t="str">
            <v>↑</v>
          </cell>
        </row>
        <row r="14">
          <cell r="D14" t="str">
            <v>USH 41 NB ON RAMP</v>
          </cell>
          <cell r="O14">
            <v>40878</v>
          </cell>
        </row>
        <row r="15">
          <cell r="D15" t="str">
            <v>STH 96 (Wisconsin Ave)</v>
          </cell>
        </row>
        <row r="16">
          <cell r="D16" t="str">
            <v>uSH 41 NB Off RAMP</v>
          </cell>
        </row>
        <row r="17">
          <cell r="D17" t="str">
            <v>STH 96 (Wisconsin Ave)</v>
          </cell>
        </row>
        <row r="18">
          <cell r="U18" t="str">
            <v>4:45-5:45pm</v>
          </cell>
        </row>
      </sheetData>
      <sheetData sheetId="2"/>
      <sheetData sheetId="3">
        <row r="22">
          <cell r="E22">
            <v>0</v>
          </cell>
          <cell r="G22">
            <v>0</v>
          </cell>
          <cell r="J22">
            <v>3.6363635762584536</v>
          </cell>
          <cell r="L22">
            <v>0</v>
          </cell>
          <cell r="O22">
            <v>0</v>
          </cell>
          <cell r="Q22">
            <v>0</v>
          </cell>
          <cell r="T22">
            <v>0</v>
          </cell>
          <cell r="V2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J28"/>
  <sheetViews>
    <sheetView tabSelected="1" zoomScale="70" zoomScaleNormal="70" workbookViewId="0">
      <selection activeCell="J32" sqref="J31:J32"/>
    </sheetView>
  </sheetViews>
  <sheetFormatPr defaultRowHeight="15" x14ac:dyDescent="0.25"/>
  <cols>
    <col min="28" max="28" width="11" customWidth="1"/>
  </cols>
  <sheetData>
    <row r="3" spans="3:36" ht="27" thickBot="1" x14ac:dyDescent="0.3">
      <c r="C3" s="1" t="s">
        <v>20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3:36" ht="21" x14ac:dyDescent="0.25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3:36" ht="21" x14ac:dyDescent="0.25">
      <c r="C5" s="5"/>
      <c r="D5" s="98" t="s">
        <v>0</v>
      </c>
      <c r="E5" s="99"/>
      <c r="F5" s="99"/>
      <c r="G5" s="100"/>
      <c r="H5" s="6"/>
      <c r="I5" s="69" t="str">
        <f>'[1]Base Information'!$D$14</f>
        <v>USH 41 NB ON RAMP</v>
      </c>
      <c r="J5" s="70"/>
      <c r="K5" s="70"/>
      <c r="L5" s="70"/>
      <c r="M5" s="70"/>
      <c r="N5" s="70"/>
      <c r="O5" s="70"/>
      <c r="P5" s="70"/>
      <c r="Q5" s="71"/>
      <c r="R5" s="6"/>
      <c r="S5" s="101" t="s">
        <v>1</v>
      </c>
      <c r="T5" s="102"/>
      <c r="U5" s="102"/>
      <c r="V5" s="103"/>
    </row>
    <row r="6" spans="3:36" ht="21" x14ac:dyDescent="0.25">
      <c r="C6" s="5"/>
      <c r="D6" s="104" t="str">
        <f>'[1]Base Information'!$U$18</f>
        <v>4:45-5:45pm</v>
      </c>
      <c r="E6" s="105"/>
      <c r="F6" s="105"/>
      <c r="G6" s="106"/>
      <c r="H6" s="6"/>
      <c r="I6" s="7" t="s">
        <v>2</v>
      </c>
      <c r="J6" s="8">
        <f>'[1]Peak Hour Volume Summary'!E22</f>
        <v>0</v>
      </c>
      <c r="K6" s="9"/>
      <c r="L6" s="68">
        <f>I7+N8</f>
        <v>64</v>
      </c>
      <c r="M6" s="68"/>
      <c r="N6" s="68"/>
      <c r="O6" s="9"/>
      <c r="P6" s="10" t="s">
        <v>3</v>
      </c>
      <c r="Q6" s="11">
        <f>'[1]Peak Hour Volume Summary'!G22</f>
        <v>0</v>
      </c>
      <c r="R6" s="6"/>
      <c r="S6" s="107">
        <f>I7+T10+N21+F15</f>
        <v>-1802</v>
      </c>
      <c r="T6" s="108"/>
      <c r="U6" s="108"/>
      <c r="V6" s="109"/>
    </row>
    <row r="7" spans="3:36" ht="21" x14ac:dyDescent="0.25">
      <c r="C7" s="5"/>
      <c r="D7" s="88">
        <f>'[1]Base Information'!$O$14</f>
        <v>40878</v>
      </c>
      <c r="E7" s="89"/>
      <c r="F7" s="89"/>
      <c r="G7" s="90"/>
      <c r="H7" s="6"/>
      <c r="I7" s="65">
        <f>SUM(I8:L8)</f>
        <v>0</v>
      </c>
      <c r="J7" s="66"/>
      <c r="K7" s="66"/>
      <c r="L7" s="67"/>
      <c r="M7" s="12"/>
      <c r="N7" s="13"/>
      <c r="O7" s="6"/>
      <c r="P7" s="6"/>
      <c r="Q7" s="14"/>
      <c r="R7" s="6"/>
      <c r="S7" s="15"/>
      <c r="T7" s="15"/>
      <c r="U7" s="15"/>
      <c r="V7" s="15"/>
    </row>
    <row r="8" spans="3:36" ht="21" x14ac:dyDescent="0.25">
      <c r="C8" s="5"/>
      <c r="D8" s="6"/>
      <c r="E8" s="6"/>
      <c r="F8" s="6"/>
      <c r="G8" s="6"/>
      <c r="H8" s="6"/>
      <c r="I8" s="16">
        <v>0</v>
      </c>
      <c r="J8" s="17">
        <v>0</v>
      </c>
      <c r="K8" s="17">
        <v>0</v>
      </c>
      <c r="L8" s="18">
        <v>0</v>
      </c>
      <c r="M8" s="19"/>
      <c r="N8" s="62">
        <v>64</v>
      </c>
      <c r="O8" s="63"/>
      <c r="P8" s="63"/>
      <c r="Q8" s="64"/>
      <c r="R8" s="6"/>
      <c r="S8" s="6"/>
      <c r="T8" s="6"/>
      <c r="U8" s="6"/>
      <c r="V8" s="6"/>
    </row>
    <row r="9" spans="3:36" ht="21" x14ac:dyDescent="0.25">
      <c r="C9" s="5"/>
      <c r="D9" s="20"/>
      <c r="E9" s="20"/>
      <c r="F9" s="20"/>
      <c r="G9" s="20"/>
      <c r="H9" s="21"/>
      <c r="I9" s="22">
        <v>8</v>
      </c>
      <c r="J9" s="23" t="s">
        <v>4</v>
      </c>
      <c r="K9" s="23">
        <v>9</v>
      </c>
      <c r="L9" s="24" t="s">
        <v>5</v>
      </c>
      <c r="M9" s="25"/>
      <c r="N9" s="59" t="s">
        <v>6</v>
      </c>
      <c r="O9" s="60"/>
      <c r="P9" s="60"/>
      <c r="Q9" s="61"/>
      <c r="R9" s="28"/>
      <c r="S9" s="20"/>
      <c r="T9" s="20"/>
      <c r="U9" s="20"/>
      <c r="V9" s="20"/>
      <c r="AD9" t="s">
        <v>24</v>
      </c>
    </row>
    <row r="10" spans="3:36" ht="21" x14ac:dyDescent="0.35">
      <c r="C10" s="5"/>
      <c r="D10" s="91" t="str">
        <f>'[1]Base Information'!$D$17</f>
        <v>STH 96 (Wisconsin Ave)</v>
      </c>
      <c r="E10" s="29" t="s">
        <v>2</v>
      </c>
      <c r="F10" s="94">
        <f>1381-2557</f>
        <v>-1176</v>
      </c>
      <c r="G10" s="94"/>
      <c r="H10" s="83" t="s">
        <v>7</v>
      </c>
      <c r="I10" s="6"/>
      <c r="J10" s="6"/>
      <c r="K10" s="6"/>
      <c r="L10" s="6"/>
      <c r="M10" s="6"/>
      <c r="N10" s="6"/>
      <c r="O10" s="6"/>
      <c r="P10" s="6"/>
      <c r="Q10" s="6"/>
      <c r="R10" s="23" t="s">
        <v>8</v>
      </c>
      <c r="S10" s="30">
        <f>233-129</f>
        <v>104</v>
      </c>
      <c r="T10" s="72">
        <f>SUM(S10:S13)</f>
        <v>-781</v>
      </c>
      <c r="U10" s="29" t="s">
        <v>2</v>
      </c>
      <c r="V10" s="75" t="str">
        <f>'[1]Base Information'!$D$15</f>
        <v>STH 96 (Wisconsin Ave)</v>
      </c>
      <c r="AD10" s="110" t="s">
        <v>19</v>
      </c>
    </row>
    <row r="11" spans="3:36" ht="21" x14ac:dyDescent="0.25">
      <c r="C11" s="5"/>
      <c r="D11" s="92"/>
      <c r="E11" s="31">
        <f>'[1]Peak Hour Volume Summary'!T22</f>
        <v>0</v>
      </c>
      <c r="F11" s="95"/>
      <c r="G11" s="95"/>
      <c r="H11" s="60"/>
      <c r="I11" s="6"/>
      <c r="J11" s="6"/>
      <c r="K11" s="6"/>
      <c r="L11" s="6"/>
      <c r="M11" s="6"/>
      <c r="N11" s="6"/>
      <c r="O11" s="6"/>
      <c r="P11" s="6"/>
      <c r="Q11" s="6"/>
      <c r="R11" s="23" t="s">
        <v>7</v>
      </c>
      <c r="S11" s="30">
        <f>1149-2034</f>
        <v>-885</v>
      </c>
      <c r="T11" s="73"/>
      <c r="U11" s="31">
        <f>'[1]Peak Hour Volume Summary'!J22</f>
        <v>3.6363635762584536</v>
      </c>
      <c r="V11" s="76"/>
      <c r="AC11" s="46"/>
      <c r="AD11" s="45"/>
      <c r="AH11" s="44">
        <f>SUM(AG15:AG17)</f>
        <v>1774.3655105394066</v>
      </c>
    </row>
    <row r="12" spans="3:36" ht="21" x14ac:dyDescent="0.25">
      <c r="C12" s="5"/>
      <c r="D12" s="92"/>
      <c r="E12" s="78">
        <f>F10+F15</f>
        <v>-1718</v>
      </c>
      <c r="F12" s="95"/>
      <c r="G12" s="95"/>
      <c r="H12" s="60"/>
      <c r="I12" s="6"/>
      <c r="J12" s="6"/>
      <c r="K12" s="6"/>
      <c r="L12" s="6"/>
      <c r="M12" s="6"/>
      <c r="N12" s="6"/>
      <c r="O12" s="6"/>
      <c r="P12" s="6"/>
      <c r="Q12" s="6"/>
      <c r="R12" s="23" t="s">
        <v>9</v>
      </c>
      <c r="S12" s="30">
        <v>0</v>
      </c>
      <c r="T12" s="73"/>
      <c r="U12" s="79">
        <f>T10+S15</f>
        <v>-1471</v>
      </c>
      <c r="V12" s="76"/>
      <c r="Z12" s="47"/>
      <c r="AA12" s="47"/>
      <c r="AB12" s="47"/>
      <c r="AC12" s="47"/>
      <c r="AD12" s="48"/>
      <c r="AE12" s="47"/>
      <c r="AF12" s="47"/>
      <c r="AG12" s="47"/>
      <c r="AH12" s="47"/>
      <c r="AI12" s="47"/>
      <c r="AJ12" s="47"/>
    </row>
    <row r="13" spans="3:36" ht="21" x14ac:dyDescent="0.25">
      <c r="C13" s="5"/>
      <c r="D13" s="92"/>
      <c r="E13" s="78"/>
      <c r="F13" s="96"/>
      <c r="G13" s="96"/>
      <c r="H13" s="97"/>
      <c r="I13" s="6"/>
      <c r="J13" s="6"/>
      <c r="K13" s="6"/>
      <c r="L13" s="6"/>
      <c r="M13" s="6"/>
      <c r="N13" s="6"/>
      <c r="O13" s="6"/>
      <c r="P13" s="6"/>
      <c r="Q13" s="6"/>
      <c r="R13" s="23" t="s">
        <v>10</v>
      </c>
      <c r="S13" s="30">
        <v>0</v>
      </c>
      <c r="T13" s="74"/>
      <c r="U13" s="79"/>
      <c r="V13" s="76"/>
      <c r="Z13" s="47"/>
      <c r="AA13" s="47"/>
      <c r="AB13" s="47"/>
      <c r="AC13" s="47"/>
      <c r="AD13" s="48"/>
      <c r="AE13" s="47"/>
      <c r="AF13" s="47"/>
      <c r="AG13" s="47"/>
      <c r="AH13" s="47"/>
      <c r="AI13" s="47"/>
      <c r="AJ13" s="47"/>
    </row>
    <row r="14" spans="3:36" ht="21" x14ac:dyDescent="0.3">
      <c r="C14" s="5"/>
      <c r="D14" s="92"/>
      <c r="E14" s="78"/>
      <c r="F14" s="32"/>
      <c r="G14" s="33"/>
      <c r="H14" s="34"/>
      <c r="I14" s="6"/>
      <c r="J14" s="6"/>
      <c r="K14" s="6"/>
      <c r="L14" s="6"/>
      <c r="M14" s="35" t="str">
        <f>'[1]Base Information'!$J$13</f>
        <v>↑</v>
      </c>
      <c r="N14" s="6"/>
      <c r="O14" s="6"/>
      <c r="P14" s="6"/>
      <c r="Q14" s="6"/>
      <c r="R14" s="32"/>
      <c r="S14" s="33"/>
      <c r="T14" s="34"/>
      <c r="U14" s="79"/>
      <c r="V14" s="76"/>
      <c r="Z14" s="47"/>
      <c r="AA14" s="49"/>
      <c r="AB14" s="49"/>
      <c r="AC14" s="49"/>
      <c r="AD14" s="48"/>
      <c r="AE14" s="47"/>
      <c r="AF14" s="110" t="s">
        <v>22</v>
      </c>
      <c r="AG14" s="110" t="s">
        <v>23</v>
      </c>
      <c r="AH14" s="47"/>
      <c r="AI14" s="47"/>
      <c r="AJ14" s="47"/>
    </row>
    <row r="15" spans="3:36" ht="21" x14ac:dyDescent="0.25">
      <c r="C15" s="5"/>
      <c r="D15" s="92"/>
      <c r="E15" s="78"/>
      <c r="F15" s="80">
        <f>SUM(G15:G18)</f>
        <v>-542</v>
      </c>
      <c r="G15" s="36">
        <v>0</v>
      </c>
      <c r="H15" s="23" t="s">
        <v>11</v>
      </c>
      <c r="I15" s="6"/>
      <c r="J15" s="6"/>
      <c r="K15" s="6"/>
      <c r="L15" s="6"/>
      <c r="M15" s="37" t="s">
        <v>12</v>
      </c>
      <c r="N15" s="6"/>
      <c r="O15" s="6"/>
      <c r="P15" s="6"/>
      <c r="Q15" s="6"/>
      <c r="R15" s="83" t="s">
        <v>13</v>
      </c>
      <c r="S15" s="85">
        <f>1171-1861</f>
        <v>-690</v>
      </c>
      <c r="T15" s="85"/>
      <c r="U15" s="79"/>
      <c r="V15" s="76"/>
      <c r="Z15" s="47"/>
      <c r="AA15" s="50"/>
      <c r="AB15" s="50"/>
      <c r="AC15" s="50"/>
      <c r="AD15" s="48"/>
      <c r="AE15" s="26" t="s">
        <v>8</v>
      </c>
      <c r="AF15" s="51">
        <v>233</v>
      </c>
      <c r="AG15" s="52">
        <f>AF15*(1+AI15/100)^25</f>
        <v>263.94136899513455</v>
      </c>
      <c r="AH15" s="50">
        <f>AG15-AF15</f>
        <v>30.941368995134553</v>
      </c>
      <c r="AI15" s="47">
        <v>0.5</v>
      </c>
      <c r="AJ15" s="47"/>
    </row>
    <row r="16" spans="3:36" ht="21" x14ac:dyDescent="0.25">
      <c r="C16" s="5"/>
      <c r="D16" s="92"/>
      <c r="E16" s="78"/>
      <c r="F16" s="81"/>
      <c r="G16" s="36">
        <f>353-393</f>
        <v>-40</v>
      </c>
      <c r="H16" s="23" t="s">
        <v>14</v>
      </c>
      <c r="I16" s="6"/>
      <c r="J16" s="6"/>
      <c r="K16" s="6"/>
      <c r="L16" s="6"/>
      <c r="M16" s="6"/>
      <c r="N16" s="6"/>
      <c r="O16" s="6"/>
      <c r="P16" s="6"/>
      <c r="Q16" s="6"/>
      <c r="R16" s="63"/>
      <c r="S16" s="86"/>
      <c r="T16" s="86"/>
      <c r="U16" s="79"/>
      <c r="V16" s="76"/>
      <c r="Z16" s="47"/>
      <c r="AA16" s="53"/>
      <c r="AB16" s="53"/>
      <c r="AC16" s="53"/>
      <c r="AD16" s="48"/>
      <c r="AE16" s="26" t="s">
        <v>7</v>
      </c>
      <c r="AF16" s="51">
        <v>1149</v>
      </c>
      <c r="AG16" s="52">
        <f t="shared" ref="AG16:AG17" si="0">AF16*(1+AI16/100)^25</f>
        <v>1510.4241415442721</v>
      </c>
      <c r="AH16" s="50">
        <f>AG16-AF16</f>
        <v>361.42414154427206</v>
      </c>
      <c r="AI16" s="47">
        <v>1.1000000000000001</v>
      </c>
      <c r="AJ16" s="47"/>
    </row>
    <row r="17" spans="3:36" ht="21" x14ac:dyDescent="0.35">
      <c r="C17" s="5"/>
      <c r="D17" s="92"/>
      <c r="E17" s="29" t="s">
        <v>3</v>
      </c>
      <c r="F17" s="81"/>
      <c r="G17" s="36">
        <f>840-1342</f>
        <v>-502</v>
      </c>
      <c r="H17" s="23" t="s">
        <v>13</v>
      </c>
      <c r="I17" s="6"/>
      <c r="J17" s="6"/>
      <c r="K17" s="6"/>
      <c r="L17" s="6"/>
      <c r="M17" s="6"/>
      <c r="N17" s="6"/>
      <c r="O17" s="6"/>
      <c r="P17" s="6"/>
      <c r="Q17" s="6"/>
      <c r="R17" s="63"/>
      <c r="S17" s="86"/>
      <c r="T17" s="86"/>
      <c r="U17" s="29" t="s">
        <v>3</v>
      </c>
      <c r="V17" s="76"/>
      <c r="Z17" s="47"/>
      <c r="AA17" s="51"/>
      <c r="AB17" s="51"/>
      <c r="AC17" s="51"/>
      <c r="AD17" s="48"/>
      <c r="AE17" s="26" t="s">
        <v>9</v>
      </c>
      <c r="AF17" s="51">
        <v>0</v>
      </c>
      <c r="AG17" s="52">
        <f t="shared" si="0"/>
        <v>0</v>
      </c>
      <c r="AH17" s="50"/>
      <c r="AI17" s="47"/>
      <c r="AJ17" s="47"/>
    </row>
    <row r="18" spans="3:36" ht="21" x14ac:dyDescent="0.3">
      <c r="C18" s="5"/>
      <c r="D18" s="93"/>
      <c r="E18" s="38">
        <f>'[1]Peak Hour Volume Summary'!V22</f>
        <v>0</v>
      </c>
      <c r="F18" s="82"/>
      <c r="G18" s="39">
        <v>0</v>
      </c>
      <c r="H18" s="40" t="s">
        <v>15</v>
      </c>
      <c r="I18" s="6"/>
      <c r="J18" s="6"/>
      <c r="K18" s="6"/>
      <c r="L18" s="6"/>
      <c r="M18" s="6"/>
      <c r="N18" s="6"/>
      <c r="O18" s="6"/>
      <c r="P18" s="6"/>
      <c r="Q18" s="6"/>
      <c r="R18" s="84"/>
      <c r="S18" s="87"/>
      <c r="T18" s="87"/>
      <c r="U18" s="38">
        <f>'[1]Peak Hour Volume Summary'!L22</f>
        <v>0</v>
      </c>
      <c r="V18" s="77"/>
      <c r="Z18" s="47"/>
      <c r="AA18" s="54"/>
      <c r="AB18" s="54"/>
      <c r="AC18" s="54"/>
      <c r="AD18" s="55"/>
      <c r="AE18" s="54"/>
      <c r="AF18" s="54"/>
      <c r="AG18" s="54"/>
      <c r="AH18" s="54"/>
      <c r="AI18" s="110" t="s">
        <v>21</v>
      </c>
      <c r="AJ18" s="47"/>
    </row>
    <row r="19" spans="3:36" ht="21" x14ac:dyDescent="0.25">
      <c r="C19" s="5"/>
      <c r="D19" s="6"/>
      <c r="E19" s="6"/>
      <c r="F19" s="6"/>
      <c r="G19" s="6"/>
      <c r="H19" s="41"/>
      <c r="I19" s="59" t="s">
        <v>4</v>
      </c>
      <c r="J19" s="60"/>
      <c r="K19" s="60"/>
      <c r="L19" s="61"/>
      <c r="M19" s="12"/>
      <c r="N19" s="23" t="s">
        <v>16</v>
      </c>
      <c r="O19" s="23" t="s">
        <v>17</v>
      </c>
      <c r="P19" s="23" t="s">
        <v>6</v>
      </c>
      <c r="Q19" s="24" t="s">
        <v>18</v>
      </c>
      <c r="R19" s="6"/>
      <c r="S19" s="6"/>
      <c r="T19" s="6"/>
      <c r="U19" s="6"/>
      <c r="V19" s="6"/>
      <c r="Z19" s="47"/>
      <c r="AA19" s="50"/>
      <c r="AB19" s="47"/>
      <c r="AC19" s="47"/>
      <c r="AD19" s="48"/>
      <c r="AE19" s="47"/>
      <c r="AF19" s="26" t="s">
        <v>17</v>
      </c>
      <c r="AG19" s="26" t="s">
        <v>6</v>
      </c>
      <c r="AH19" s="27" t="s">
        <v>18</v>
      </c>
      <c r="AI19" s="47"/>
      <c r="AJ19" s="47"/>
    </row>
    <row r="20" spans="3:36" ht="21" x14ac:dyDescent="0.3">
      <c r="C20" s="5"/>
      <c r="D20" s="6"/>
      <c r="E20" s="6"/>
      <c r="F20" s="6"/>
      <c r="G20" s="6"/>
      <c r="H20" s="6"/>
      <c r="I20" s="62">
        <f>G18+J8+S12+N20</f>
        <v>0</v>
      </c>
      <c r="J20" s="63"/>
      <c r="K20" s="63"/>
      <c r="L20" s="64"/>
      <c r="M20" s="19"/>
      <c r="N20" s="17">
        <v>0</v>
      </c>
      <c r="O20" s="17">
        <f>232-523</f>
        <v>-291</v>
      </c>
      <c r="P20" s="17">
        <v>0</v>
      </c>
      <c r="Q20" s="18">
        <f>331-519</f>
        <v>-188</v>
      </c>
      <c r="R20" s="6"/>
      <c r="S20" s="6"/>
      <c r="T20" s="6"/>
      <c r="U20" s="6"/>
      <c r="V20" s="6"/>
      <c r="Z20" s="47"/>
      <c r="AA20" s="56">
        <v>1.3</v>
      </c>
      <c r="AB20" s="52">
        <f>AC20*(1+AA20/100)^25</f>
        <v>487.54065829792802</v>
      </c>
      <c r="AC20" s="51">
        <v>353</v>
      </c>
      <c r="AD20" s="26" t="s">
        <v>14</v>
      </c>
      <c r="AE20" s="111"/>
      <c r="AF20" s="51">
        <v>232</v>
      </c>
      <c r="AG20" s="51">
        <v>0</v>
      </c>
      <c r="AH20" s="51">
        <v>331</v>
      </c>
      <c r="AI20" s="110" t="s">
        <v>22</v>
      </c>
      <c r="AJ20" s="47"/>
    </row>
    <row r="21" spans="3:36" ht="21" x14ac:dyDescent="0.3">
      <c r="C21" s="5"/>
      <c r="D21" s="6"/>
      <c r="E21" s="6"/>
      <c r="F21" s="6"/>
      <c r="G21" s="6"/>
      <c r="H21" s="6"/>
      <c r="I21" s="13"/>
      <c r="J21" s="6"/>
      <c r="K21" s="6"/>
      <c r="L21" s="6"/>
      <c r="M21" s="25"/>
      <c r="N21" s="65">
        <f>SUM(N20:Q20)</f>
        <v>-479</v>
      </c>
      <c r="O21" s="66"/>
      <c r="P21" s="66"/>
      <c r="Q21" s="67"/>
      <c r="R21" s="6"/>
      <c r="S21" s="6"/>
      <c r="T21" s="6"/>
      <c r="U21" s="6"/>
      <c r="V21" s="6"/>
      <c r="Z21" s="47"/>
      <c r="AA21" s="56">
        <v>1.2</v>
      </c>
      <c r="AB21" s="52">
        <f>AC21*(1+AA21/100)^25</f>
        <v>1131.8584009841479</v>
      </c>
      <c r="AC21" s="51">
        <v>840</v>
      </c>
      <c r="AD21" s="26" t="s">
        <v>13</v>
      </c>
      <c r="AE21" s="111"/>
      <c r="AF21" s="52">
        <f>AF20*(1+AF23/100)^25</f>
        <v>328.42549248532424</v>
      </c>
      <c r="AG21" s="52">
        <f t="shared" ref="AG21" si="1">AG20*(1+AG23)^25</f>
        <v>0</v>
      </c>
      <c r="AH21" s="52">
        <f>AH20*(1+AH23/100)^25</f>
        <v>424.48499035070455</v>
      </c>
      <c r="AI21" s="110" t="s">
        <v>23</v>
      </c>
      <c r="AJ21" s="47"/>
    </row>
    <row r="22" spans="3:36" ht="21" x14ac:dyDescent="0.25">
      <c r="C22" s="5"/>
      <c r="D22" s="6"/>
      <c r="E22" s="6"/>
      <c r="F22" s="6"/>
      <c r="G22" s="6"/>
      <c r="H22" s="6"/>
      <c r="I22" s="7" t="s">
        <v>2</v>
      </c>
      <c r="J22" s="8">
        <f>'[1]Peak Hour Volume Summary'!O22</f>
        <v>0</v>
      </c>
      <c r="K22" s="9"/>
      <c r="L22" s="68">
        <f>I20+N21</f>
        <v>-479</v>
      </c>
      <c r="M22" s="68"/>
      <c r="N22" s="68"/>
      <c r="O22" s="9"/>
      <c r="P22" s="10" t="s">
        <v>3</v>
      </c>
      <c r="Q22" s="11">
        <f>'[1]Peak Hour Volume Summary'!Q22</f>
        <v>0</v>
      </c>
      <c r="R22" s="6"/>
      <c r="S22" s="6"/>
      <c r="T22" s="6"/>
      <c r="U22" s="6"/>
      <c r="V22" s="6"/>
      <c r="Z22" s="47"/>
      <c r="AB22" s="112"/>
      <c r="AC22" s="112"/>
      <c r="AD22" s="40" t="s">
        <v>15</v>
      </c>
      <c r="AE22" s="111"/>
      <c r="AF22" s="50">
        <f>AF21-AF20</f>
        <v>96.425492485324241</v>
      </c>
      <c r="AG22" s="50">
        <f>AG21-AG20</f>
        <v>0</v>
      </c>
      <c r="AH22" s="50">
        <f>AH21-AH20</f>
        <v>93.48499035070455</v>
      </c>
      <c r="AI22" s="47"/>
      <c r="AJ22" s="47"/>
    </row>
    <row r="23" spans="3:36" ht="21" x14ac:dyDescent="0.3">
      <c r="C23" s="5"/>
      <c r="D23" s="6"/>
      <c r="E23" s="6"/>
      <c r="F23" s="6"/>
      <c r="G23" s="6"/>
      <c r="H23" s="6"/>
      <c r="I23" s="69" t="str">
        <f>'[1]Base Information'!$D$16</f>
        <v>uSH 41 NB Off RAMP</v>
      </c>
      <c r="J23" s="70"/>
      <c r="K23" s="70"/>
      <c r="L23" s="70"/>
      <c r="M23" s="70"/>
      <c r="N23" s="70"/>
      <c r="O23" s="70"/>
      <c r="P23" s="70"/>
      <c r="Q23" s="71"/>
      <c r="R23" s="6"/>
      <c r="S23" s="6"/>
      <c r="T23" s="6"/>
      <c r="U23" s="6"/>
      <c r="V23" s="6"/>
      <c r="Z23" s="47"/>
      <c r="AA23" s="47"/>
      <c r="AB23" s="110" t="s">
        <v>23</v>
      </c>
      <c r="AC23" s="110" t="s">
        <v>22</v>
      </c>
      <c r="AD23" s="48"/>
      <c r="AE23" s="47"/>
      <c r="AF23" s="57">
        <v>1.4</v>
      </c>
      <c r="AG23" s="58"/>
      <c r="AH23" s="57">
        <v>1</v>
      </c>
      <c r="AI23" s="47"/>
      <c r="AJ23" s="47"/>
    </row>
    <row r="24" spans="3:36" ht="21.75" thickBot="1" x14ac:dyDescent="0.3"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Z24" s="47"/>
      <c r="AA24" s="47"/>
      <c r="AB24" s="47"/>
      <c r="AC24" s="47"/>
      <c r="AD24" s="48"/>
      <c r="AE24" s="47"/>
      <c r="AF24" s="47"/>
      <c r="AG24" s="47"/>
      <c r="AH24" s="47"/>
      <c r="AI24" s="47"/>
      <c r="AJ24" s="47"/>
    </row>
    <row r="25" spans="3:36" ht="21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AD25" s="45"/>
    </row>
    <row r="26" spans="3:36" x14ac:dyDescent="0.25">
      <c r="AD26" s="45"/>
    </row>
    <row r="27" spans="3:36" x14ac:dyDescent="0.25">
      <c r="AD27" s="45"/>
      <c r="AH27" s="44">
        <f>SUM(AB20,AH21)</f>
        <v>912.02564864863257</v>
      </c>
    </row>
    <row r="28" spans="3:36" x14ac:dyDescent="0.25">
      <c r="AD28" s="45"/>
    </row>
  </sheetData>
  <mergeCells count="25">
    <mergeCell ref="D5:G5"/>
    <mergeCell ref="I5:Q5"/>
    <mergeCell ref="S5:V5"/>
    <mergeCell ref="D6:G6"/>
    <mergeCell ref="L6:N6"/>
    <mergeCell ref="S6:V6"/>
    <mergeCell ref="D7:G7"/>
    <mergeCell ref="I7:L7"/>
    <mergeCell ref="N8:Q8"/>
    <mergeCell ref="N9:Q9"/>
    <mergeCell ref="D10:D18"/>
    <mergeCell ref="F10:G13"/>
    <mergeCell ref="H10:H13"/>
    <mergeCell ref="T10:T13"/>
    <mergeCell ref="V10:V18"/>
    <mergeCell ref="E12:E16"/>
    <mergeCell ref="U12:U16"/>
    <mergeCell ref="F15:F18"/>
    <mergeCell ref="R15:R18"/>
    <mergeCell ref="S15:T18"/>
    <mergeCell ref="I19:L19"/>
    <mergeCell ref="I20:L20"/>
    <mergeCell ref="N21:Q21"/>
    <mergeCell ref="L22:N22"/>
    <mergeCell ref="I23:Q23"/>
  </mergeCells>
  <conditionalFormatting sqref="AA14:AC14">
    <cfRule type="cellIs" dxfId="1" priority="1" stopIfTrue="1" operator="between">
      <formula>4.9</formula>
      <formula>10</formula>
    </cfRule>
    <cfRule type="cellIs" dxfId="0" priority="2" stopIfTrue="1" operator="greaterThan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HNTB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Youngblom</dc:creator>
  <cp:lastModifiedBy>Eric Youngblom</cp:lastModifiedBy>
  <dcterms:created xsi:type="dcterms:W3CDTF">2013-01-17T20:47:41Z</dcterms:created>
  <dcterms:modified xsi:type="dcterms:W3CDTF">2013-01-17T21:51:03Z</dcterms:modified>
</cp:coreProperties>
</file>