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90" yWindow="210" windowWidth="20085" windowHeight="10260"/>
  </bookViews>
  <sheets>
    <sheet name="Table ES-3" sheetId="3" r:id="rId1"/>
    <sheet name="Table 1-9" sheetId="1" r:id="rId2"/>
    <sheet name="Table 2-9" sheetId="2" r:id="rId3"/>
    <sheet name="Table 3-5" sheetId="4" r:id="rId4"/>
    <sheet name="Table 4-7" sheetId="5" r:id="rId5"/>
    <sheet name="Table 5-8" sheetId="6" r:id="rId6"/>
    <sheet name="Table 6-6" sheetId="7" r:id="rId7"/>
    <sheet name="Table 7-9" sheetId="8" r:id="rId8"/>
    <sheet name="Table 8-10" sheetId="9" r:id="rId9"/>
    <sheet name="Short-term or Intermediate Alt.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'Table ES-3'!$A$1:$I$46</definedName>
  </definedNames>
  <calcPr calcId="145621"/>
</workbook>
</file>

<file path=xl/calcChain.xml><?xml version="1.0" encoding="utf-8"?>
<calcChain xmlns="http://schemas.openxmlformats.org/spreadsheetml/2006/main">
  <c r="C7" i="9" l="1"/>
  <c r="C19" i="9"/>
  <c r="C18" i="9"/>
  <c r="C17" i="9"/>
  <c r="C16" i="9"/>
  <c r="C15" i="9"/>
  <c r="C14" i="9"/>
  <c r="C13" i="9"/>
  <c r="C12" i="9"/>
  <c r="C8" i="9" l="1"/>
  <c r="C10" i="9"/>
  <c r="C6" i="9"/>
  <c r="C5" i="9"/>
  <c r="C4" i="9"/>
  <c r="C3" i="9"/>
  <c r="C9" i="9" l="1"/>
  <c r="C28" i="9"/>
  <c r="C27" i="9"/>
  <c r="C26" i="9"/>
  <c r="C25" i="9"/>
  <c r="C24" i="9"/>
  <c r="C23" i="9"/>
  <c r="C22" i="9"/>
  <c r="C21" i="9"/>
  <c r="C38" i="8"/>
  <c r="C28" i="8"/>
  <c r="C10" i="8"/>
  <c r="C19" i="8"/>
  <c r="C20" i="7"/>
  <c r="C19" i="7"/>
  <c r="C18" i="7"/>
  <c r="C17" i="7"/>
  <c r="C16" i="7"/>
  <c r="C15" i="7"/>
  <c r="C14" i="7"/>
  <c r="C13" i="7"/>
  <c r="C10" i="7"/>
  <c r="C30" i="6"/>
  <c r="C29" i="6"/>
  <c r="C28" i="6"/>
  <c r="C27" i="6"/>
  <c r="C26" i="6"/>
  <c r="C25" i="6"/>
  <c r="C24" i="6"/>
  <c r="C23" i="6"/>
  <c r="C20" i="6"/>
  <c r="C19" i="6"/>
  <c r="C18" i="6"/>
  <c r="C17" i="6"/>
  <c r="C16" i="6"/>
  <c r="C15" i="6"/>
  <c r="C14" i="6"/>
  <c r="C13" i="6"/>
  <c r="C10" i="6"/>
  <c r="C21" i="5"/>
  <c r="C20" i="5"/>
  <c r="C19" i="5"/>
  <c r="C18" i="5"/>
  <c r="C17" i="5"/>
  <c r="C16" i="5"/>
  <c r="C15" i="5"/>
  <c r="C14" i="5"/>
  <c r="C11" i="5"/>
  <c r="C10" i="4"/>
  <c r="C39" i="2"/>
  <c r="C38" i="2"/>
  <c r="C37" i="2"/>
  <c r="C36" i="2"/>
  <c r="C35" i="2"/>
  <c r="C34" i="2"/>
  <c r="C33" i="2"/>
  <c r="C32" i="2"/>
  <c r="C30" i="2"/>
  <c r="C29" i="2"/>
  <c r="C28" i="2"/>
  <c r="C27" i="2"/>
  <c r="C26" i="2"/>
  <c r="C25" i="2"/>
  <c r="C24" i="2"/>
  <c r="C23" i="2"/>
  <c r="C21" i="2"/>
  <c r="C11" i="2"/>
  <c r="C10" i="1"/>
  <c r="C20" i="1"/>
  <c r="C30" i="1"/>
  <c r="C19" i="1"/>
  <c r="C18" i="1"/>
  <c r="C17" i="1"/>
  <c r="C16" i="1"/>
  <c r="C15" i="1"/>
  <c r="C14" i="1"/>
  <c r="C13" i="1"/>
  <c r="C29" i="1"/>
  <c r="C28" i="1"/>
  <c r="C27" i="1"/>
  <c r="C26" i="1"/>
  <c r="C25" i="1"/>
  <c r="C24" i="1"/>
  <c r="C23" i="1"/>
  <c r="C39" i="1" l="1"/>
  <c r="C32" i="1" l="1"/>
  <c r="C34" i="1"/>
  <c r="H43" i="3"/>
  <c r="G43" i="3"/>
  <c r="I39" i="3"/>
  <c r="I33" i="3"/>
  <c r="I28" i="3"/>
  <c r="I22" i="3"/>
  <c r="G17" i="3"/>
  <c r="I17" i="3"/>
  <c r="I15" i="3"/>
  <c r="I9" i="3"/>
  <c r="G37" i="3"/>
  <c r="G39" i="3" s="1"/>
  <c r="G26" i="3"/>
  <c r="G24" i="3"/>
  <c r="G28" i="3" s="1"/>
  <c r="H21" i="3"/>
  <c r="G19" i="3"/>
  <c r="G22" i="3" s="1"/>
  <c r="D12" i="5"/>
  <c r="G11" i="3"/>
  <c r="G15" i="3" s="1"/>
  <c r="G6" i="3"/>
  <c r="G4" i="3"/>
  <c r="G9" i="3" s="1"/>
  <c r="D10" i="9" l="1"/>
  <c r="I40" i="3" s="1"/>
  <c r="D19" i="9"/>
  <c r="I41" i="3" s="1"/>
  <c r="B29" i="9"/>
  <c r="C34" i="8"/>
  <c r="C33" i="8"/>
  <c r="C32" i="8"/>
  <c r="C31" i="8"/>
  <c r="C24" i="8"/>
  <c r="C23" i="8"/>
  <c r="C22" i="8"/>
  <c r="C21" i="8"/>
  <c r="C15" i="8"/>
  <c r="C14" i="8"/>
  <c r="C12" i="8"/>
  <c r="B29" i="8"/>
  <c r="B39" i="8" s="1"/>
  <c r="C9" i="8"/>
  <c r="C8" i="8"/>
  <c r="C7" i="8"/>
  <c r="C6" i="8"/>
  <c r="C5" i="8"/>
  <c r="C4" i="8"/>
  <c r="C3" i="8"/>
  <c r="C7" i="7"/>
  <c r="C6" i="7"/>
  <c r="C5" i="7"/>
  <c r="C4" i="7"/>
  <c r="C3" i="7"/>
  <c r="B22" i="7"/>
  <c r="B11" i="7"/>
  <c r="D11" i="7" s="1"/>
  <c r="G30" i="3" s="1"/>
  <c r="G33" i="3" s="1"/>
  <c r="G44" i="3" s="1"/>
  <c r="D21" i="7"/>
  <c r="H32" i="3" s="1"/>
  <c r="B31" i="6"/>
  <c r="D21" i="6"/>
  <c r="B21" i="6"/>
  <c r="D11" i="6"/>
  <c r="B11" i="6"/>
  <c r="C9" i="6"/>
  <c r="C8" i="6"/>
  <c r="C7" i="6"/>
  <c r="C6" i="6"/>
  <c r="C5" i="6"/>
  <c r="C4" i="6"/>
  <c r="C3" i="6"/>
  <c r="B23" i="5"/>
  <c r="D22" i="5"/>
  <c r="B12" i="5"/>
  <c r="C8" i="5"/>
  <c r="C7" i="5"/>
  <c r="C6" i="5"/>
  <c r="C5" i="5"/>
  <c r="C4" i="5"/>
  <c r="B11" i="4"/>
  <c r="C7" i="4"/>
  <c r="C6" i="4"/>
  <c r="C5" i="4"/>
  <c r="C4" i="4"/>
  <c r="C3" i="4"/>
  <c r="D12" i="2"/>
  <c r="B40" i="2"/>
  <c r="C20" i="2"/>
  <c r="C19" i="2"/>
  <c r="C18" i="2"/>
  <c r="C17" i="2"/>
  <c r="C16" i="2"/>
  <c r="C15" i="2"/>
  <c r="C14" i="2"/>
  <c r="C8" i="2"/>
  <c r="C7" i="2"/>
  <c r="C6" i="2"/>
  <c r="C5" i="2"/>
  <c r="C4" i="2"/>
  <c r="C9" i="2"/>
  <c r="B12" i="2"/>
  <c r="D21" i="1"/>
  <c r="B21" i="1"/>
  <c r="B40" i="1" s="1"/>
  <c r="D11" i="1"/>
  <c r="B11" i="1"/>
  <c r="E54" i="10"/>
  <c r="E53" i="10"/>
  <c r="E52" i="10"/>
  <c r="E51" i="10"/>
  <c r="E50" i="10"/>
  <c r="E48" i="10"/>
  <c r="E47" i="10"/>
  <c r="E46" i="10"/>
  <c r="E45" i="10"/>
  <c r="E44" i="10"/>
  <c r="E43" i="10"/>
  <c r="E42" i="10"/>
  <c r="E41" i="10"/>
  <c r="E37" i="10"/>
  <c r="E36" i="10"/>
  <c r="E35" i="10"/>
  <c r="E34" i="10"/>
  <c r="E33" i="10"/>
  <c r="E40" i="10"/>
  <c r="E39" i="10"/>
  <c r="E38" i="10"/>
  <c r="E32" i="10"/>
  <c r="E31" i="10"/>
  <c r="E30" i="10"/>
  <c r="E29" i="10"/>
  <c r="E28" i="10"/>
  <c r="E27" i="10"/>
  <c r="E26" i="10"/>
  <c r="E25" i="10"/>
  <c r="E24" i="10"/>
  <c r="E23" i="10"/>
  <c r="E21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2" i="10"/>
  <c r="E2" i="10"/>
  <c r="C35" i="1"/>
  <c r="C9" i="1"/>
  <c r="C8" i="1"/>
  <c r="C7" i="1"/>
  <c r="C6" i="1"/>
  <c r="C5" i="1"/>
  <c r="C4" i="1"/>
  <c r="C3" i="1"/>
  <c r="C25" i="8" l="1"/>
  <c r="C35" i="8"/>
  <c r="C13" i="8"/>
  <c r="C16" i="8"/>
  <c r="C33" i="1"/>
  <c r="D10" i="1"/>
  <c r="H3" i="3" s="1"/>
  <c r="D21" i="5"/>
  <c r="H20" i="3" s="1"/>
  <c r="D30" i="2"/>
  <c r="H13" i="3" s="1"/>
  <c r="D28" i="9"/>
  <c r="I42" i="3" s="1"/>
  <c r="I43" i="3" s="1"/>
  <c r="I44" i="3" s="1"/>
  <c r="D30" i="1"/>
  <c r="H7" i="3" s="1"/>
  <c r="D30" i="6"/>
  <c r="H27" i="3" s="1"/>
  <c r="D20" i="6"/>
  <c r="H25" i="3" s="1"/>
  <c r="C31" i="6"/>
  <c r="D20" i="1"/>
  <c r="H5" i="3" s="1"/>
  <c r="D39" i="2"/>
  <c r="H14" i="3" s="1"/>
  <c r="D21" i="2"/>
  <c r="H12" i="3" s="1"/>
  <c r="D10" i="6"/>
  <c r="C29" i="9"/>
  <c r="D29" i="8"/>
  <c r="D10" i="8"/>
  <c r="C9" i="5"/>
  <c r="D29" i="9" l="1"/>
  <c r="C17" i="8"/>
  <c r="C36" i="1"/>
  <c r="H34" i="3"/>
  <c r="D31" i="6"/>
  <c r="H23" i="3"/>
  <c r="H28" i="3" s="1"/>
  <c r="C8" i="4"/>
  <c r="C10" i="2"/>
  <c r="C26" i="8" l="1"/>
  <c r="C36" i="8"/>
  <c r="C8" i="7"/>
  <c r="D11" i="2"/>
  <c r="C37" i="1" l="1"/>
  <c r="D20" i="7"/>
  <c r="H31" i="3" s="1"/>
  <c r="H10" i="3"/>
  <c r="H15" i="3" s="1"/>
  <c r="D40" i="2"/>
  <c r="C40" i="2"/>
  <c r="C10" i="5"/>
  <c r="C9" i="4"/>
  <c r="C18" i="8" l="1"/>
  <c r="D11" i="5"/>
  <c r="C23" i="5"/>
  <c r="C11" i="4"/>
  <c r="D10" i="4"/>
  <c r="C27" i="8" l="1"/>
  <c r="D28" i="8" s="1"/>
  <c r="H36" i="3" s="1"/>
  <c r="C37" i="8"/>
  <c r="D38" i="8" s="1"/>
  <c r="H38" i="3" s="1"/>
  <c r="D19" i="8"/>
  <c r="D11" i="4"/>
  <c r="H16" i="3"/>
  <c r="H17" i="3" s="1"/>
  <c r="D23" i="5"/>
  <c r="H18" i="3"/>
  <c r="H22" i="3" s="1"/>
  <c r="C9" i="7"/>
  <c r="C39" i="8" l="1"/>
  <c r="H35" i="3"/>
  <c r="H39" i="3" s="1"/>
  <c r="D39" i="8"/>
  <c r="C38" i="1"/>
  <c r="D10" i="7"/>
  <c r="C22" i="7"/>
  <c r="D39" i="1" l="1"/>
  <c r="C40" i="1"/>
  <c r="D22" i="7"/>
  <c r="H29" i="3"/>
  <c r="H33" i="3" s="1"/>
  <c r="H8" i="3" l="1"/>
  <c r="H9" i="3" s="1"/>
  <c r="H44" i="3" s="1"/>
  <c r="G45" i="3" s="1"/>
  <c r="D40" i="1"/>
</calcChain>
</file>

<file path=xl/sharedStrings.xml><?xml version="1.0" encoding="utf-8"?>
<sst xmlns="http://schemas.openxmlformats.org/spreadsheetml/2006/main" count="462" uniqueCount="161">
  <si>
    <t>Mainline Segment Limits/Interchange</t>
  </si>
  <si>
    <t>Short-term Costs*</t>
  </si>
  <si>
    <t>Long-term Costs*</t>
  </si>
  <si>
    <t>Totals</t>
  </si>
  <si>
    <t>North of Breezewood Lane to South of County BB</t>
  </si>
  <si>
    <t>Major Roadway Items</t>
  </si>
  <si>
    <t>Allowance Items</t>
  </si>
  <si>
    <t>Structures</t>
  </si>
  <si>
    <t>Special Construction Elements</t>
  </si>
  <si>
    <t>Context Sensitive Solutions (CSS)</t>
  </si>
  <si>
    <t>Scope Change Allowance Items</t>
  </si>
  <si>
    <t>Project Delivery Allowance Items</t>
  </si>
  <si>
    <t>WIS 114/County JJ Interchange:  Short-term Alt. 1</t>
  </si>
  <si>
    <t>WIS 114/County JJ Interchange:  Long-term Alt. 4</t>
  </si>
  <si>
    <t>Oakridge Road/Main Street Interchange: Long-term Alt. 5</t>
  </si>
  <si>
    <t>County II Interchange: Long-term Alt. 4</t>
  </si>
  <si>
    <t>Segment 1 Total</t>
  </si>
  <si>
    <t>Segment</t>
  </si>
  <si>
    <t>Mainline Segment Limits/Interchanges Location</t>
  </si>
  <si>
    <t>Proposed Improvement</t>
  </si>
  <si>
    <t>Exhibit No.</t>
  </si>
  <si>
    <t>Page No.</t>
  </si>
  <si>
    <t>US 41 &amp; WIS 441 Short-term Cost*</t>
  </si>
  <si>
    <t>US 41</t>
  </si>
  <si>
    <t>Long-term Cost*</t>
  </si>
  <si>
    <t>WIS 441</t>
  </si>
  <si>
    <t>Segment 1</t>
  </si>
  <si>
    <t>US 41:  North of Breezewood Lane to South of County BB</t>
  </si>
  <si>
    <t>Long-term improvement:  Reconstruction to 8 lanes from Breezewood to US 10/WIS 441</t>
  </si>
  <si>
    <t>-</t>
  </si>
  <si>
    <t>WIS 114/County JJ (Winneconne Avenue) Interchange</t>
  </si>
  <si>
    <t>Short-term improvement (Alternative 1): Merge and diverge ramp improvements</t>
  </si>
  <si>
    <t>2015-2017</t>
  </si>
  <si>
    <t>Long-term improvement (Alternative 4):  Traditional signalized intersections</t>
  </si>
  <si>
    <t>Oakridge Road/Main Street Interchange</t>
  </si>
  <si>
    <t>Long-term improvement (Alternative 5):  Reconstruction with wider roadway median</t>
  </si>
  <si>
    <t>County II (Winchester Road) Interchange</t>
  </si>
  <si>
    <t>Long-term improvement (Alternative 4):  Reconstruction with roundabout intersection improvements</t>
  </si>
  <si>
    <t>Segment 2</t>
  </si>
  <si>
    <t>US 41:  South of County BB to North of WIS 96 Structures</t>
  </si>
  <si>
    <t>Long-term improvement:  Reconstruction to 8 lanes from South of County BB thru WIS 96</t>
  </si>
  <si>
    <t>County BB (West Prospect Avenue) Interchange</t>
  </si>
  <si>
    <t>Short-term improvement (Alternative 1):  Extended on-ramp acceleration lanes</t>
  </si>
  <si>
    <t>Long-term improvement (Alternative 6):  Reconstruction with roundabout intersection improvements</t>
  </si>
  <si>
    <t>WIS 125 (West College Avenue) Interchange</t>
  </si>
  <si>
    <t>WIS 96 (West Wisconsin Avenue) Interchange</t>
  </si>
  <si>
    <t>Segment 3</t>
  </si>
  <si>
    <t>US 41:  North of WIS 96 Structures to South of WIS 15 Structures</t>
  </si>
  <si>
    <t>Long-term improvement:  Reconstruction to 8 lanes from WIS 96 to WIS 15</t>
  </si>
  <si>
    <t>Segment 4</t>
  </si>
  <si>
    <t>US 41:  South of WIS 15 Structures to West of County E</t>
  </si>
  <si>
    <t>Long-term improvement:  Reconstruction to 6 lanes from WIS 15 to County E</t>
  </si>
  <si>
    <t>WIS 15/County OO (West Northland Avenue) Interchange</t>
  </si>
  <si>
    <t>Short-term improvement (Alternative 1):  Off-ramp improvements</t>
  </si>
  <si>
    <t>2012-2014</t>
  </si>
  <si>
    <t>Long-term improvement (Alternative 6):  Traditional signalized intersections with high efficiency intersection at WIS 15/Casaloma Drive Intersection.</t>
  </si>
  <si>
    <t>WIS 47 (Richmond Street) Interchange</t>
  </si>
  <si>
    <t>Long-term improvement:  Interchange planned for construction in 2013.  Minor lump sum rehabilitation cost included.</t>
  </si>
  <si>
    <t>Segment 5</t>
  </si>
  <si>
    <t>US 41:  West of County E to West of County N (Includes US41/WIS 441 North System Interchange) &amp; WIS 441: Fox River Bridge to US 41</t>
  </si>
  <si>
    <t>Long-term improvement:  Reconstruction to 6 lanes from WIS E to County N with new system flyover interchange configuration with US 41 SB C-D Road improvements</t>
  </si>
  <si>
    <t>County E (Ballard Road) Interchange</t>
  </si>
  <si>
    <t>Short-term improvement (Alternative 2):  Off-ramp improvements with deceleration lanes.  Look ahead left turn lanes along County E NB and SB.</t>
  </si>
  <si>
    <t>Long-term improvement (Alternative 5):  Traditional signalized intersections with additional capacity along County E from Capitol Drive to West Evergreen Drive</t>
  </si>
  <si>
    <t>WIS 441/County OO (East Northland Avenue) Interchange</t>
  </si>
  <si>
    <t>Short-term improvement (Alternative 1):  Improve off-ramps</t>
  </si>
  <si>
    <t>Long-term improvement (Alternative 7):  Provide WIS 441 NB on-ramp access from County OO as a loop ramp in the SE quadrant and WIS 441 NB off-ramp connection to County OO near French Road.  Relocate French Road intersection further to the east on County OO.</t>
  </si>
  <si>
    <t>Segment 6</t>
  </si>
  <si>
    <t>US 41:  West of County N to West of County J</t>
  </si>
  <si>
    <t>Long-term improvement:  Reconstruction to 6 lanes from County N to County J</t>
  </si>
  <si>
    <t>County N (Freedom Road) Interchange</t>
  </si>
  <si>
    <t>Short-term improvement (Alternative 1):  Improve on-ramp acceleration length</t>
  </si>
  <si>
    <t>Long-term improvement (Alternative 4):  Traditional signalized intersections.</t>
  </si>
  <si>
    <t>WIS 55 (Delanglade Street) Interchange</t>
  </si>
  <si>
    <t>Segment 7</t>
  </si>
  <si>
    <t>US 41:  West of County J to Orange Lane</t>
  </si>
  <si>
    <t>Long-term improvement:  Reconstruction to 6 lanes from County J to Orange Lane</t>
  </si>
  <si>
    <t>County J (Lawe Street) Interchange</t>
  </si>
  <si>
    <t>Long-term improvement:  Interchange recently constructed.  Minor lump sum rehabilitation cost included.</t>
  </si>
  <si>
    <t>County U (South County Line Road) Interchange</t>
  </si>
  <si>
    <t xml:space="preserve">Long-term improvement (Alternative 2):  Add weight in motion interface and other vehicle identification equipment.  Add acceleration lane from weigh station on US 41 NB.  Complete street improvement along County U. </t>
  </si>
  <si>
    <t>County S (Freedom Road) Interchange</t>
  </si>
  <si>
    <t>Short-term improvement (Alternative 2):  Improve off-ramps along with County S turn lane improvements</t>
  </si>
  <si>
    <t>Long-term improvement (Alternative 4):  Relocate frontage roads from ramp locations to improve intersection spacing.  Widen County S structures and roadway.</t>
  </si>
  <si>
    <t>Segment 8</t>
  </si>
  <si>
    <t>WIS 441:  East of US 10 to South of US41/WIS 441 North System Interchange</t>
  </si>
  <si>
    <t>Long-term improvement:  Reconstruction to 6 lanes from US 10 to US 41/WIS 441 North System Interchange</t>
  </si>
  <si>
    <t>County KK Interchange</t>
  </si>
  <si>
    <t>Long-term improvement (Alternative 7): Traditional signalized intersections.</t>
  </si>
  <si>
    <t>County CE Interchange</t>
  </si>
  <si>
    <t>Long-term improvement (Alternative 5): Traditional signalized intersections.</t>
  </si>
  <si>
    <t>Total Corridor</t>
  </si>
  <si>
    <t>Short-term</t>
  </si>
  <si>
    <t>Costs*</t>
  </si>
  <si>
    <t>South of County BB to North of WIS 96 Structures</t>
  </si>
  <si>
    <t>County BB Interchange Short-term Alternative 1</t>
  </si>
  <si>
    <t>County BB Interchange Long-term Alternative 6</t>
  </si>
  <si>
    <t>WIS 125 Interchange Long-term Alternative 4</t>
  </si>
  <si>
    <t>WIS 96 Interchange Long-term Alternative 4</t>
  </si>
  <si>
    <t>Segment 2 Total</t>
  </si>
  <si>
    <t>North of WIS 96 Structures to South of WIS 15 Structures</t>
  </si>
  <si>
    <t>Segment 3 Total</t>
  </si>
  <si>
    <t>South of WIS 15 Structures to West of County E</t>
  </si>
  <si>
    <t>WIS 15/County OO Interchange Short-term Alternative 1</t>
  </si>
  <si>
    <t>WIS 15/County OO Interchange Long-term Alternative 6</t>
  </si>
  <si>
    <t>Segment 4 Total</t>
  </si>
  <si>
    <t>West of County E to West of County N (Includes US 41/WIS 441 North System Interchange)</t>
  </si>
  <si>
    <t>County E Interchange (Short-term Alternative 2)</t>
  </si>
  <si>
    <t>County E Interchange (Long-term Alternative 5)</t>
  </si>
  <si>
    <t>County OO Interchange (Short-term Alternative 1)</t>
  </si>
  <si>
    <t>County OO Interchange (Long-term Alternative 6)</t>
  </si>
  <si>
    <t>Segment 5 Total</t>
  </si>
  <si>
    <t>West of County N to West of County J</t>
  </si>
  <si>
    <t>County N Interchange (Short-term Alternative 1)</t>
  </si>
  <si>
    <t>County N Interchange (Long-term Alternative 4)</t>
  </si>
  <si>
    <t>WIS 55 Interchange</t>
  </si>
  <si>
    <t>Segment 6 Total</t>
  </si>
  <si>
    <t>West of County J to Orange Lane</t>
  </si>
  <si>
    <t>Segment 7 Total</t>
  </si>
  <si>
    <t>Total</t>
  </si>
  <si>
    <t>Segment 8 Total</t>
  </si>
  <si>
    <t>County S Interchange (Short-term Alternative 2)</t>
  </si>
  <si>
    <t>County S Interchange (Long-term Alternative 4)</t>
  </si>
  <si>
    <t>County U Interchange (Long-term Alternative 2)</t>
  </si>
  <si>
    <t>County KK Interchange (Long-term Alternative 7)</t>
  </si>
  <si>
    <t>County CE Interchange (Long-term Alternative 5)</t>
  </si>
  <si>
    <t>Interchange</t>
  </si>
  <si>
    <t>Alternative</t>
  </si>
  <si>
    <t>2011 Cost</t>
  </si>
  <si>
    <t>% Inflation</t>
  </si>
  <si>
    <t>2013 Cost</t>
  </si>
  <si>
    <t>WIS 114 Interchange</t>
  </si>
  <si>
    <t>Oakridge Road Interchange</t>
  </si>
  <si>
    <t>County II Interchange</t>
  </si>
  <si>
    <t>County BB Interchange</t>
  </si>
  <si>
    <t>2 Local</t>
  </si>
  <si>
    <t>3 Local</t>
  </si>
  <si>
    <t>4 Local</t>
  </si>
  <si>
    <t>3 (Multiuse Path)</t>
  </si>
  <si>
    <t>5 Local</t>
  </si>
  <si>
    <t>WIS 15 Interchange</t>
  </si>
  <si>
    <t>County E Interchange</t>
  </si>
  <si>
    <t>County N Interchange</t>
  </si>
  <si>
    <t>County OO Interchange</t>
  </si>
  <si>
    <t>County U Interchange</t>
  </si>
  <si>
    <t>County S Interchange</t>
  </si>
  <si>
    <t>Oakridge Road/Main Street Interchange: Short-term (partial implementation of Alt. 1 at ramp terminal)</t>
  </si>
  <si>
    <t>Short-term improvement (Alternative 1):  Partial implementation of ramp terminal intersection improvements</t>
  </si>
  <si>
    <t>Segment 8 Subtotal</t>
  </si>
  <si>
    <t>Segment 7 Subtotal</t>
  </si>
  <si>
    <t>Segment 6 Subtotal</t>
  </si>
  <si>
    <t>Segment 5 Subtotal</t>
  </si>
  <si>
    <t>Segment 4 Subtotal</t>
  </si>
  <si>
    <t>Segment 3 Subtotal</t>
  </si>
  <si>
    <t>Segment 2 Subtotal</t>
  </si>
  <si>
    <t>Segment 1 Subtotal</t>
  </si>
  <si>
    <t>External Costs and Risk Adjustment</t>
  </si>
  <si>
    <t>Note:  all costs shown are in 2013 dollars, including both short and long term improvements.</t>
  </si>
  <si>
    <t>Suggested</t>
  </si>
  <si>
    <t>Implementation Year</t>
  </si>
  <si>
    <t>US 41 (North of Breezewood Lane to Orange Lane) and WIS 441 (East of US 10 to South of US 41/WIS 441 North System Interchange)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</si>
</sst>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left" vertical="center" wrapText="1" indent="5"/>
    </xf>
    <xf numFmtId="0" fontId="0" fillId="0" borderId="4" xfId="0" applyBorder="1" applyAlignment="1">
      <alignment horizontal="right" vertical="center" wrapText="1"/>
    </xf>
    <xf numFmtId="6" fontId="0" fillId="0" borderId="0" xfId="0" applyNumberFormat="1"/>
    <xf numFmtId="6" fontId="0" fillId="0" borderId="4" xfId="0" applyNumberForma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6" fontId="0" fillId="0" borderId="4" xfId="0" applyNumberFormat="1" applyBorder="1" applyAlignment="1">
      <alignment vertical="center" wrapText="1"/>
    </xf>
    <xf numFmtId="6" fontId="2" fillId="0" borderId="4" xfId="0" applyNumberFormat="1" applyFont="1" applyBorder="1" applyAlignment="1">
      <alignment horizontal="right" vertical="center" wrapText="1"/>
    </xf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2" applyFont="1"/>
    <xf numFmtId="0" fontId="0" fillId="0" borderId="0" xfId="0" applyAlignment="1">
      <alignment horizontal="right"/>
    </xf>
    <xf numFmtId="6" fontId="2" fillId="0" borderId="4" xfId="0" applyNumberFormat="1" applyFont="1" applyBorder="1" applyAlignment="1">
      <alignment vertical="center" wrapText="1"/>
    </xf>
    <xf numFmtId="6" fontId="0" fillId="0" borderId="4" xfId="0" applyNumberFormat="1" applyBorder="1" applyAlignment="1">
      <alignment horizontal="center" vertical="center" wrapText="1"/>
    </xf>
    <xf numFmtId="6" fontId="0" fillId="3" borderId="4" xfId="0" applyNumberForma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0" xfId="0" applyFont="1"/>
    <xf numFmtId="0" fontId="3" fillId="3" borderId="6" xfId="0" applyFont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6" fontId="0" fillId="3" borderId="8" xfId="0" applyNumberFormat="1" applyFill="1" applyBorder="1" applyAlignment="1">
      <alignment horizontal="center" vertical="center" wrapText="1"/>
    </xf>
    <xf numFmtId="6" fontId="0" fillId="3" borderId="9" xfId="0" applyNumberFormat="1" applyFill="1" applyBorder="1" applyAlignment="1">
      <alignment horizontal="center" vertical="center" wrapText="1"/>
    </xf>
    <xf numFmtId="6" fontId="0" fillId="3" borderId="2" xfId="0" applyNumberForma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2_Segment%201_Breezewood_CTH%20BB_Estimator%20Spreadshe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v2_Segment%204_CTH%20OO_CTH%20E_Estimator%20Spreadshe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WIS15_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v2_Segment%205_CTH%20E_CTH%20N_Estimator%20Spreadshee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CTHE_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W441-CTHOO_Es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v2_Segment%206_CTH%20N_E%20Line%20Rd_Estimator%20Spreadshe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CTHN_E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v2_Segment%207_CTH%20J_Orange%20Ln_Estimator%20Spreadshee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CTHJ_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CTHU_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WIS114_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CTHS_Es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v2_Segment8_STH441_Estimator%20Spreadshee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W441-CTHKK_ALT2_Es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W441-CTHCE_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Oakridge_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CTHII_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2_Segment%202_CTH%20BB_WIS%2096_Estimator%20Spreadshe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CTHBB_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WIS125_ALT2_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USH41-WIS96_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v2_Segment%203_WIS%2096_CTH%20OO_Estimator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44982000</v>
          </cell>
        </row>
        <row r="65">
          <cell r="E65">
            <v>26887000</v>
          </cell>
        </row>
        <row r="84">
          <cell r="E84">
            <v>38547000</v>
          </cell>
        </row>
        <row r="98">
          <cell r="E98">
            <v>0</v>
          </cell>
        </row>
        <row r="103">
          <cell r="E103">
            <v>5521000</v>
          </cell>
        </row>
        <row r="107">
          <cell r="E107">
            <v>27825000</v>
          </cell>
        </row>
        <row r="117">
          <cell r="E117">
            <v>49885000</v>
          </cell>
        </row>
        <row r="128">
          <cell r="E128">
            <v>12753000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31195000</v>
          </cell>
        </row>
        <row r="65">
          <cell r="E65">
            <v>18646000</v>
          </cell>
        </row>
        <row r="84">
          <cell r="E84">
            <v>21621000</v>
          </cell>
        </row>
        <row r="98">
          <cell r="E98">
            <v>0</v>
          </cell>
        </row>
        <row r="103">
          <cell r="E103">
            <v>3573000</v>
          </cell>
        </row>
        <row r="107">
          <cell r="E107">
            <v>18008000</v>
          </cell>
        </row>
        <row r="117">
          <cell r="E117">
            <v>32285000</v>
          </cell>
        </row>
        <row r="128">
          <cell r="E128">
            <v>8254000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11503000</v>
          </cell>
        </row>
        <row r="65">
          <cell r="E65">
            <v>6875000</v>
          </cell>
        </row>
        <row r="84">
          <cell r="E84">
            <v>4635000</v>
          </cell>
        </row>
        <row r="98">
          <cell r="E98">
            <v>5000000</v>
          </cell>
        </row>
        <row r="103">
          <cell r="E103">
            <v>1401000</v>
          </cell>
        </row>
        <row r="107">
          <cell r="E107">
            <v>7059000</v>
          </cell>
        </row>
        <row r="117">
          <cell r="E117">
            <v>12657000</v>
          </cell>
        </row>
        <row r="128">
          <cell r="E128">
            <v>3235000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28425000</v>
          </cell>
        </row>
        <row r="65">
          <cell r="E65">
            <v>16989000</v>
          </cell>
        </row>
        <row r="84">
          <cell r="E84">
            <v>33727000</v>
          </cell>
        </row>
        <row r="98">
          <cell r="E98">
            <v>0</v>
          </cell>
        </row>
        <row r="103">
          <cell r="E103">
            <v>3957000</v>
          </cell>
        </row>
        <row r="107">
          <cell r="E107">
            <v>19944000</v>
          </cell>
        </row>
        <row r="117">
          <cell r="E117">
            <v>35755000</v>
          </cell>
        </row>
        <row r="128">
          <cell r="E128">
            <v>9141000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6698000</v>
          </cell>
        </row>
        <row r="65">
          <cell r="E65">
            <v>4004000</v>
          </cell>
        </row>
        <row r="84">
          <cell r="E84">
            <v>5028000</v>
          </cell>
        </row>
        <row r="98">
          <cell r="E98">
            <v>0</v>
          </cell>
        </row>
        <row r="103">
          <cell r="E103">
            <v>787000</v>
          </cell>
        </row>
        <row r="107">
          <cell r="E107">
            <v>3964000</v>
          </cell>
        </row>
        <row r="117">
          <cell r="E117">
            <v>7107000</v>
          </cell>
        </row>
        <row r="128">
          <cell r="E128">
            <v>1817000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8294000</v>
          </cell>
        </row>
        <row r="65">
          <cell r="E65">
            <v>4957000</v>
          </cell>
        </row>
        <row r="84">
          <cell r="E84">
            <v>1878000</v>
          </cell>
        </row>
        <row r="98">
          <cell r="E98">
            <v>0</v>
          </cell>
        </row>
        <row r="103">
          <cell r="E103">
            <v>756000</v>
          </cell>
        </row>
        <row r="107">
          <cell r="E107">
            <v>3812000</v>
          </cell>
        </row>
        <row r="117">
          <cell r="E117">
            <v>6834000</v>
          </cell>
        </row>
        <row r="128">
          <cell r="E128">
            <v>1748000</v>
          </cell>
        </row>
        <row r="136">
          <cell r="E13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16130000</v>
          </cell>
        </row>
        <row r="65">
          <cell r="E65">
            <v>9642000</v>
          </cell>
        </row>
        <row r="84">
          <cell r="E84">
            <v>6014000</v>
          </cell>
        </row>
        <row r="98">
          <cell r="E98">
            <v>0</v>
          </cell>
        </row>
        <row r="103">
          <cell r="E103">
            <v>1589000</v>
          </cell>
        </row>
        <row r="107">
          <cell r="E107">
            <v>8010000</v>
          </cell>
        </row>
        <row r="117">
          <cell r="E117">
            <v>14361000</v>
          </cell>
        </row>
        <row r="128">
          <cell r="E128">
            <v>3671000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3253000</v>
          </cell>
        </row>
        <row r="65">
          <cell r="E65">
            <v>1946000</v>
          </cell>
        </row>
        <row r="84">
          <cell r="E84">
            <v>1818000</v>
          </cell>
        </row>
        <row r="98">
          <cell r="E98">
            <v>1000000</v>
          </cell>
        </row>
        <row r="103">
          <cell r="E103">
            <v>401000</v>
          </cell>
        </row>
        <row r="107">
          <cell r="E107">
            <v>2020000</v>
          </cell>
        </row>
        <row r="117">
          <cell r="E117">
            <v>3623000</v>
          </cell>
        </row>
        <row r="128">
          <cell r="E128">
            <v>926000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52077000</v>
          </cell>
        </row>
        <row r="65">
          <cell r="E65">
            <v>31127000</v>
          </cell>
        </row>
        <row r="84">
          <cell r="E84">
            <v>14543000</v>
          </cell>
        </row>
        <row r="98">
          <cell r="E98">
            <v>0</v>
          </cell>
        </row>
        <row r="103">
          <cell r="E103">
            <v>4887000</v>
          </cell>
        </row>
        <row r="107">
          <cell r="E107">
            <v>24632000</v>
          </cell>
        </row>
        <row r="117">
          <cell r="E117">
            <v>44161000</v>
          </cell>
        </row>
        <row r="128">
          <cell r="E128">
            <v>11290000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558000</v>
          </cell>
        </row>
        <row r="65">
          <cell r="E65">
            <v>335000</v>
          </cell>
        </row>
        <row r="84">
          <cell r="E84">
            <v>1717000</v>
          </cell>
        </row>
        <row r="98">
          <cell r="E98">
            <v>0</v>
          </cell>
        </row>
        <row r="103">
          <cell r="E103">
            <v>131000</v>
          </cell>
        </row>
        <row r="107">
          <cell r="E107">
            <v>658000</v>
          </cell>
        </row>
        <row r="117">
          <cell r="E117">
            <v>1180000</v>
          </cell>
        </row>
        <row r="128">
          <cell r="E128">
            <v>301000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1017000</v>
          </cell>
        </row>
        <row r="65">
          <cell r="E65">
            <v>607000</v>
          </cell>
        </row>
        <row r="84">
          <cell r="E84">
            <v>0</v>
          </cell>
        </row>
        <row r="98">
          <cell r="E98">
            <v>0</v>
          </cell>
        </row>
        <row r="103">
          <cell r="E103">
            <v>81000</v>
          </cell>
        </row>
        <row r="107">
          <cell r="E107">
            <v>409000</v>
          </cell>
        </row>
        <row r="117">
          <cell r="E117">
            <v>733000</v>
          </cell>
        </row>
        <row r="128">
          <cell r="E128">
            <v>187000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3751000</v>
          </cell>
        </row>
        <row r="65">
          <cell r="E65">
            <v>2243000</v>
          </cell>
        </row>
        <row r="84">
          <cell r="E84">
            <v>1273000</v>
          </cell>
        </row>
        <row r="98">
          <cell r="E98">
            <v>0</v>
          </cell>
        </row>
        <row r="103">
          <cell r="E103">
            <v>363000</v>
          </cell>
        </row>
        <row r="107">
          <cell r="E107">
            <v>1831000</v>
          </cell>
        </row>
        <row r="117">
          <cell r="E117">
            <v>3283000</v>
          </cell>
        </row>
        <row r="128">
          <cell r="E128">
            <v>839000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1940000</v>
          </cell>
        </row>
        <row r="65">
          <cell r="E65">
            <v>1158000</v>
          </cell>
        </row>
        <row r="84">
          <cell r="E84">
            <v>2314000</v>
          </cell>
        </row>
        <row r="98">
          <cell r="E98">
            <v>0</v>
          </cell>
        </row>
        <row r="103">
          <cell r="E103">
            <v>271000</v>
          </cell>
        </row>
        <row r="107">
          <cell r="E107">
            <v>1364000</v>
          </cell>
        </row>
        <row r="117">
          <cell r="E117">
            <v>2445000</v>
          </cell>
        </row>
        <row r="128">
          <cell r="E128">
            <v>625000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30519000</v>
          </cell>
        </row>
        <row r="65">
          <cell r="E65">
            <v>18241000</v>
          </cell>
        </row>
        <row r="84">
          <cell r="E84">
            <v>29722000</v>
          </cell>
        </row>
        <row r="98">
          <cell r="E98">
            <v>21648000</v>
          </cell>
        </row>
        <row r="103">
          <cell r="E103">
            <v>5007000</v>
          </cell>
        </row>
        <row r="107">
          <cell r="E107">
            <v>25233000</v>
          </cell>
        </row>
        <row r="117">
          <cell r="E117">
            <v>45239000</v>
          </cell>
        </row>
        <row r="128">
          <cell r="E128">
            <v>23130000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8783000</v>
          </cell>
        </row>
        <row r="65">
          <cell r="E65">
            <v>5249000</v>
          </cell>
        </row>
        <row r="84">
          <cell r="E84">
            <v>702000</v>
          </cell>
        </row>
        <row r="98">
          <cell r="E98">
            <v>0</v>
          </cell>
        </row>
        <row r="103">
          <cell r="E103">
            <v>737000</v>
          </cell>
        </row>
        <row r="107">
          <cell r="E107">
            <v>3713000</v>
          </cell>
        </row>
        <row r="117">
          <cell r="E117">
            <v>6657000</v>
          </cell>
        </row>
        <row r="128">
          <cell r="E128">
            <v>1702000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6064000</v>
          </cell>
        </row>
        <row r="65">
          <cell r="E65">
            <v>3626000</v>
          </cell>
        </row>
        <row r="84">
          <cell r="E84">
            <v>0</v>
          </cell>
        </row>
        <row r="98">
          <cell r="E98">
            <v>0</v>
          </cell>
        </row>
        <row r="103">
          <cell r="E103">
            <v>485000</v>
          </cell>
        </row>
        <row r="107">
          <cell r="E107">
            <v>2442000</v>
          </cell>
        </row>
        <row r="117">
          <cell r="E117">
            <v>4377000</v>
          </cell>
        </row>
        <row r="128">
          <cell r="E128">
            <v>1119000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2661000</v>
          </cell>
        </row>
        <row r="65">
          <cell r="E65">
            <v>1592000</v>
          </cell>
        </row>
        <row r="84">
          <cell r="E84">
            <v>0</v>
          </cell>
        </row>
        <row r="98">
          <cell r="E98">
            <v>0</v>
          </cell>
        </row>
        <row r="103">
          <cell r="E103">
            <v>213000</v>
          </cell>
        </row>
        <row r="107">
          <cell r="E107">
            <v>1072000</v>
          </cell>
        </row>
        <row r="117">
          <cell r="E117">
            <v>1921000</v>
          </cell>
        </row>
        <row r="128">
          <cell r="E128">
            <v>491000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2463000</v>
          </cell>
        </row>
        <row r="65">
          <cell r="E65">
            <v>1474000</v>
          </cell>
        </row>
        <row r="84">
          <cell r="E84">
            <v>1767000</v>
          </cell>
        </row>
        <row r="98">
          <cell r="E98">
            <v>300000</v>
          </cell>
        </row>
        <row r="103">
          <cell r="E103">
            <v>300000</v>
          </cell>
        </row>
        <row r="107">
          <cell r="E107">
            <v>1513000</v>
          </cell>
        </row>
        <row r="117">
          <cell r="E117">
            <v>2712000</v>
          </cell>
        </row>
        <row r="128">
          <cell r="E128">
            <v>693000</v>
          </cell>
        </row>
        <row r="136">
          <cell r="E136">
            <v>630000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14185000</v>
          </cell>
        </row>
        <row r="65">
          <cell r="E65">
            <v>8479000</v>
          </cell>
        </row>
        <row r="84">
          <cell r="E84">
            <v>26126000</v>
          </cell>
        </row>
        <row r="98">
          <cell r="E98">
            <v>0</v>
          </cell>
        </row>
        <row r="103">
          <cell r="E103">
            <v>2440000</v>
          </cell>
        </row>
        <row r="107">
          <cell r="E107">
            <v>12295000</v>
          </cell>
        </row>
        <row r="117">
          <cell r="E117">
            <v>22043000</v>
          </cell>
        </row>
        <row r="128">
          <cell r="E128">
            <v>5635000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3761000</v>
          </cell>
        </row>
        <row r="65">
          <cell r="E65">
            <v>2248000</v>
          </cell>
        </row>
        <row r="84">
          <cell r="E84">
            <v>1775000</v>
          </cell>
        </row>
        <row r="98">
          <cell r="E98">
            <v>0</v>
          </cell>
        </row>
        <row r="103">
          <cell r="E103">
            <v>389000</v>
          </cell>
        </row>
        <row r="107">
          <cell r="E107">
            <v>1962000</v>
          </cell>
        </row>
        <row r="117">
          <cell r="E117">
            <v>3516000</v>
          </cell>
        </row>
        <row r="128">
          <cell r="E128">
            <v>899000</v>
          </cell>
        </row>
        <row r="136">
          <cell r="E136">
            <v>817000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8747000</v>
          </cell>
        </row>
        <row r="65">
          <cell r="E65">
            <v>5227000</v>
          </cell>
        </row>
        <row r="84">
          <cell r="E84">
            <v>2493000</v>
          </cell>
        </row>
        <row r="98">
          <cell r="E98">
            <v>5000000</v>
          </cell>
        </row>
        <row r="103">
          <cell r="E103">
            <v>1073000</v>
          </cell>
        </row>
        <row r="107">
          <cell r="E107">
            <v>5410000</v>
          </cell>
        </row>
        <row r="117">
          <cell r="E117">
            <v>9698000</v>
          </cell>
        </row>
        <row r="128">
          <cell r="E128">
            <v>2479000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Earthwork "/>
      <sheetName val="Scope"/>
      <sheetName val="Assumptions"/>
      <sheetName val="JT Costs"/>
      <sheetName val="Comp. Utilities"/>
      <sheetName val="Diagram"/>
      <sheetName val="Often Missed"/>
      <sheetName val="TheBrains"/>
    </sheetNames>
    <sheetDataSet>
      <sheetData sheetId="0">
        <row r="53">
          <cell r="E53">
            <v>6355000</v>
          </cell>
        </row>
        <row r="65">
          <cell r="E65">
            <v>3799000</v>
          </cell>
        </row>
        <row r="84">
          <cell r="E84">
            <v>1229000</v>
          </cell>
        </row>
        <row r="98">
          <cell r="E98">
            <v>0</v>
          </cell>
        </row>
        <row r="103">
          <cell r="E103">
            <v>569000</v>
          </cell>
        </row>
        <row r="107">
          <cell r="E107">
            <v>2868000</v>
          </cell>
        </row>
        <row r="117">
          <cell r="E117">
            <v>5141000</v>
          </cell>
        </row>
        <row r="128">
          <cell r="E128">
            <v>1315000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REMOVALS"/>
      <sheetName val="Earthwork 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>
        <row r="53">
          <cell r="E53">
            <v>6602000</v>
          </cell>
        </row>
        <row r="65">
          <cell r="E65">
            <v>3947000</v>
          </cell>
        </row>
        <row r="84">
          <cell r="E84">
            <v>8444000</v>
          </cell>
        </row>
        <row r="98">
          <cell r="E98">
            <v>0</v>
          </cell>
        </row>
        <row r="103">
          <cell r="E103">
            <v>950000</v>
          </cell>
        </row>
        <row r="107">
          <cell r="E107">
            <v>4786000</v>
          </cell>
        </row>
        <row r="117">
          <cell r="E117">
            <v>8580000</v>
          </cell>
        </row>
        <row r="128">
          <cell r="E128">
            <v>2193000</v>
          </cell>
        </row>
        <row r="136">
          <cell r="E1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topLeftCell="A25" zoomScale="60" zoomScaleNormal="55" workbookViewId="0">
      <selection activeCell="B45" sqref="B45:F45"/>
    </sheetView>
  </sheetViews>
  <sheetFormatPr defaultColWidth="39.5703125" defaultRowHeight="15" x14ac:dyDescent="0.25"/>
  <cols>
    <col min="1" max="1" width="20.7109375" customWidth="1"/>
    <col min="2" max="2" width="50.7109375" customWidth="1"/>
    <col min="3" max="3" width="60.7109375" customWidth="1"/>
    <col min="4" max="5" width="10.7109375" hidden="1" customWidth="1"/>
    <col min="6" max="9" width="20.7109375" customWidth="1"/>
  </cols>
  <sheetData>
    <row r="1" spans="1:9" ht="22.5" customHeight="1" x14ac:dyDescent="0.25">
      <c r="A1" s="33" t="s">
        <v>17</v>
      </c>
      <c r="B1" s="33" t="s">
        <v>18</v>
      </c>
      <c r="C1" s="33" t="s">
        <v>19</v>
      </c>
      <c r="D1" s="33" t="s">
        <v>20</v>
      </c>
      <c r="E1" s="33" t="s">
        <v>21</v>
      </c>
      <c r="F1" s="26" t="s">
        <v>158</v>
      </c>
      <c r="G1" s="33" t="s">
        <v>22</v>
      </c>
      <c r="H1" s="26" t="s">
        <v>23</v>
      </c>
      <c r="I1" s="26" t="s">
        <v>25</v>
      </c>
    </row>
    <row r="2" spans="1:9" ht="29.25" customHeight="1" thickBot="1" x14ac:dyDescent="0.3">
      <c r="A2" s="34"/>
      <c r="B2" s="34"/>
      <c r="C2" s="34"/>
      <c r="D2" s="34"/>
      <c r="E2" s="34"/>
      <c r="F2" s="24" t="s">
        <v>159</v>
      </c>
      <c r="G2" s="34"/>
      <c r="H2" s="24" t="s">
        <v>24</v>
      </c>
      <c r="I2" s="24" t="s">
        <v>24</v>
      </c>
    </row>
    <row r="3" spans="1:9" ht="30.75" thickBot="1" x14ac:dyDescent="0.3">
      <c r="A3" s="27" t="s">
        <v>26</v>
      </c>
      <c r="B3" s="4" t="s">
        <v>27</v>
      </c>
      <c r="C3" s="4" t="s">
        <v>28</v>
      </c>
      <c r="D3" s="4"/>
      <c r="E3" s="4"/>
      <c r="F3" s="10" t="s">
        <v>29</v>
      </c>
      <c r="G3" s="22" t="s">
        <v>29</v>
      </c>
      <c r="H3" s="22">
        <f>'Table 1-9'!D10</f>
        <v>206400000</v>
      </c>
      <c r="I3" s="22" t="s">
        <v>29</v>
      </c>
    </row>
    <row r="4" spans="1:9" ht="30.75" thickBot="1" x14ac:dyDescent="0.3">
      <c r="A4" s="28"/>
      <c r="B4" s="4" t="s">
        <v>30</v>
      </c>
      <c r="C4" s="4" t="s">
        <v>31</v>
      </c>
      <c r="D4" s="4"/>
      <c r="E4" s="4"/>
      <c r="F4" s="10" t="s">
        <v>32</v>
      </c>
      <c r="G4" s="22">
        <f>'Table 1-9'!D11</f>
        <v>616000</v>
      </c>
      <c r="H4" s="22" t="s">
        <v>29</v>
      </c>
      <c r="I4" s="22" t="s">
        <v>29</v>
      </c>
    </row>
    <row r="5" spans="1:9" ht="30.75" thickBot="1" x14ac:dyDescent="0.3">
      <c r="A5" s="28"/>
      <c r="B5" s="4" t="s">
        <v>30</v>
      </c>
      <c r="C5" s="4" t="s">
        <v>33</v>
      </c>
      <c r="D5" s="4"/>
      <c r="E5" s="4"/>
      <c r="F5" s="10" t="s">
        <v>29</v>
      </c>
      <c r="G5" s="22" t="s">
        <v>29</v>
      </c>
      <c r="H5" s="22">
        <f>'Table 1-9'!D20</f>
        <v>13583000</v>
      </c>
      <c r="I5" s="22" t="s">
        <v>29</v>
      </c>
    </row>
    <row r="6" spans="1:9" ht="30.75" thickBot="1" x14ac:dyDescent="0.3">
      <c r="A6" s="28"/>
      <c r="B6" s="4" t="s">
        <v>34</v>
      </c>
      <c r="C6" s="4" t="s">
        <v>147</v>
      </c>
      <c r="D6" s="4"/>
      <c r="E6" s="4"/>
      <c r="F6" s="10" t="s">
        <v>32</v>
      </c>
      <c r="G6" s="22">
        <f>'Table 1-9'!D21</f>
        <v>167000</v>
      </c>
      <c r="H6" s="22" t="s">
        <v>29</v>
      </c>
      <c r="I6" s="22" t="s">
        <v>29</v>
      </c>
    </row>
    <row r="7" spans="1:9" ht="30.75" thickBot="1" x14ac:dyDescent="0.3">
      <c r="A7" s="28"/>
      <c r="B7" s="4" t="s">
        <v>34</v>
      </c>
      <c r="C7" s="4" t="s">
        <v>35</v>
      </c>
      <c r="D7" s="4"/>
      <c r="E7" s="4"/>
      <c r="F7" s="10" t="s">
        <v>29</v>
      </c>
      <c r="G7" s="22" t="s">
        <v>29</v>
      </c>
      <c r="H7" s="22">
        <f>'Table 1-9'!D30</f>
        <v>7950000</v>
      </c>
      <c r="I7" s="22" t="s">
        <v>29</v>
      </c>
    </row>
    <row r="8" spans="1:9" ht="30.75" thickBot="1" x14ac:dyDescent="0.3">
      <c r="A8" s="28"/>
      <c r="B8" s="4" t="s">
        <v>36</v>
      </c>
      <c r="C8" s="4" t="s">
        <v>37</v>
      </c>
      <c r="D8" s="4"/>
      <c r="E8" s="4"/>
      <c r="F8" s="10" t="s">
        <v>29</v>
      </c>
      <c r="G8" s="22" t="s">
        <v>29</v>
      </c>
      <c r="H8" s="22">
        <f>'Table 1-9'!D39</f>
        <v>11852000</v>
      </c>
      <c r="I8" s="22" t="s">
        <v>29</v>
      </c>
    </row>
    <row r="9" spans="1:9" ht="26.25" customHeight="1" thickBot="1" x14ac:dyDescent="0.3">
      <c r="A9" s="29"/>
      <c r="B9" s="30" t="s">
        <v>155</v>
      </c>
      <c r="C9" s="31"/>
      <c r="D9" s="31"/>
      <c r="E9" s="31"/>
      <c r="F9" s="32"/>
      <c r="G9" s="23">
        <f>SUM(G3:G8)</f>
        <v>783000</v>
      </c>
      <c r="H9" s="23">
        <f>SUM(H3:H8)</f>
        <v>239785000</v>
      </c>
      <c r="I9" s="23">
        <f>SUM(I3:I8)</f>
        <v>0</v>
      </c>
    </row>
    <row r="10" spans="1:9" ht="30.75" thickBot="1" x14ac:dyDescent="0.3">
      <c r="A10" s="27" t="s">
        <v>38</v>
      </c>
      <c r="B10" s="4" t="s">
        <v>39</v>
      </c>
      <c r="C10" s="4" t="s">
        <v>40</v>
      </c>
      <c r="D10" s="4"/>
      <c r="E10" s="4"/>
      <c r="F10" s="10" t="s">
        <v>29</v>
      </c>
      <c r="G10" s="22" t="s">
        <v>29</v>
      </c>
      <c r="H10" s="22">
        <f>'Table 2-9'!D11</f>
        <v>91203000</v>
      </c>
      <c r="I10" s="22" t="s">
        <v>29</v>
      </c>
    </row>
    <row r="11" spans="1:9" ht="30.75" thickBot="1" x14ac:dyDescent="0.3">
      <c r="A11" s="28"/>
      <c r="B11" s="4" t="s">
        <v>41</v>
      </c>
      <c r="C11" s="4" t="s">
        <v>42</v>
      </c>
      <c r="D11" s="4"/>
      <c r="E11" s="4"/>
      <c r="F11" s="10" t="s">
        <v>32</v>
      </c>
      <c r="G11" s="22">
        <f>'Table 2-9'!D12</f>
        <v>276000</v>
      </c>
      <c r="H11" s="22" t="s">
        <v>29</v>
      </c>
      <c r="I11" s="22" t="s">
        <v>29</v>
      </c>
    </row>
    <row r="12" spans="1:9" ht="30.75" thickBot="1" x14ac:dyDescent="0.3">
      <c r="A12" s="28"/>
      <c r="B12" s="4" t="s">
        <v>41</v>
      </c>
      <c r="C12" s="4" t="s">
        <v>43</v>
      </c>
      <c r="D12" s="4"/>
      <c r="E12" s="4"/>
      <c r="F12" s="10" t="s">
        <v>29</v>
      </c>
      <c r="G12" s="22" t="s">
        <v>29</v>
      </c>
      <c r="H12" s="22">
        <f>'Table 2-9'!D21</f>
        <v>15367000</v>
      </c>
      <c r="I12" s="22" t="s">
        <v>29</v>
      </c>
    </row>
    <row r="13" spans="1:9" ht="30.75" thickBot="1" x14ac:dyDescent="0.3">
      <c r="A13" s="28"/>
      <c r="B13" s="4" t="s">
        <v>44</v>
      </c>
      <c r="C13" s="4" t="s">
        <v>33</v>
      </c>
      <c r="D13" s="4"/>
      <c r="E13" s="4"/>
      <c r="F13" s="10"/>
      <c r="G13" s="22" t="s">
        <v>29</v>
      </c>
      <c r="H13" s="22">
        <f>'Table 2-9'!D30</f>
        <v>40127000</v>
      </c>
      <c r="I13" s="22" t="s">
        <v>29</v>
      </c>
    </row>
    <row r="14" spans="1:9" ht="30.75" thickBot="1" x14ac:dyDescent="0.3">
      <c r="A14" s="28"/>
      <c r="B14" s="4" t="s">
        <v>45</v>
      </c>
      <c r="C14" s="4" t="s">
        <v>33</v>
      </c>
      <c r="D14" s="4"/>
      <c r="E14" s="4"/>
      <c r="F14" s="10"/>
      <c r="G14" s="22" t="s">
        <v>29</v>
      </c>
      <c r="H14" s="22">
        <f>'Table 2-9'!D39</f>
        <v>21276000</v>
      </c>
      <c r="I14" s="22" t="s">
        <v>29</v>
      </c>
    </row>
    <row r="15" spans="1:9" ht="26.25" customHeight="1" thickBot="1" x14ac:dyDescent="0.3">
      <c r="A15" s="29"/>
      <c r="B15" s="30" t="s">
        <v>154</v>
      </c>
      <c r="C15" s="31"/>
      <c r="D15" s="31"/>
      <c r="E15" s="31"/>
      <c r="F15" s="32"/>
      <c r="G15" s="23">
        <f>SUM(G10:G14)</f>
        <v>276000</v>
      </c>
      <c r="H15" s="23">
        <f>SUM(H10:H14)</f>
        <v>167973000</v>
      </c>
      <c r="I15" s="23">
        <f>SUM(I10:I14)</f>
        <v>0</v>
      </c>
    </row>
    <row r="16" spans="1:9" ht="30.75" thickBot="1" x14ac:dyDescent="0.3">
      <c r="A16" s="27" t="s">
        <v>46</v>
      </c>
      <c r="B16" s="4" t="s">
        <v>47</v>
      </c>
      <c r="C16" s="4" t="s">
        <v>48</v>
      </c>
      <c r="D16" s="4"/>
      <c r="E16" s="4"/>
      <c r="F16" s="10"/>
      <c r="G16" s="22" t="s">
        <v>29</v>
      </c>
      <c r="H16" s="22">
        <f>'Table 3-5'!D10</f>
        <v>35502000</v>
      </c>
      <c r="I16" s="22" t="s">
        <v>29</v>
      </c>
    </row>
    <row r="17" spans="1:9" s="25" customFormat="1" ht="34.5" customHeight="1" thickBot="1" x14ac:dyDescent="0.3">
      <c r="A17" s="29"/>
      <c r="B17" s="35" t="s">
        <v>153</v>
      </c>
      <c r="C17" s="36"/>
      <c r="D17" s="36"/>
      <c r="E17" s="36"/>
      <c r="F17" s="37"/>
      <c r="G17" s="23">
        <f>SUM(G16)</f>
        <v>0</v>
      </c>
      <c r="H17" s="23">
        <f t="shared" ref="H17" si="0">H16</f>
        <v>35502000</v>
      </c>
      <c r="I17" s="23">
        <f>SUM(I16)</f>
        <v>0</v>
      </c>
    </row>
    <row r="18" spans="1:9" ht="30.75" thickBot="1" x14ac:dyDescent="0.3">
      <c r="A18" s="27" t="s">
        <v>49</v>
      </c>
      <c r="B18" s="4" t="s">
        <v>50</v>
      </c>
      <c r="C18" s="4" t="s">
        <v>51</v>
      </c>
      <c r="D18" s="4"/>
      <c r="E18" s="4"/>
      <c r="F18" s="10"/>
      <c r="G18" s="22" t="s">
        <v>29</v>
      </c>
      <c r="H18" s="22">
        <f>'Table 4-7'!D11</f>
        <v>133582000</v>
      </c>
      <c r="I18" s="22" t="s">
        <v>29</v>
      </c>
    </row>
    <row r="19" spans="1:9" ht="30.75" thickBot="1" x14ac:dyDescent="0.3">
      <c r="A19" s="28"/>
      <c r="B19" s="4" t="s">
        <v>52</v>
      </c>
      <c r="C19" s="4" t="s">
        <v>53</v>
      </c>
      <c r="D19" s="4"/>
      <c r="E19" s="4"/>
      <c r="F19" s="10" t="s">
        <v>54</v>
      </c>
      <c r="G19" s="22">
        <f>'Table 4-7'!D12</f>
        <v>321000</v>
      </c>
      <c r="H19" s="22" t="s">
        <v>29</v>
      </c>
      <c r="I19" s="22" t="s">
        <v>29</v>
      </c>
    </row>
    <row r="20" spans="1:9" ht="61.5" customHeight="1" thickBot="1" x14ac:dyDescent="0.3">
      <c r="A20" s="28"/>
      <c r="B20" s="4" t="s">
        <v>52</v>
      </c>
      <c r="C20" s="4" t="s">
        <v>55</v>
      </c>
      <c r="D20" s="4"/>
      <c r="E20" s="4"/>
      <c r="F20" s="10"/>
      <c r="G20" s="22" t="s">
        <v>29</v>
      </c>
      <c r="H20" s="22">
        <f>'Table 4-7'!D21</f>
        <v>52365000</v>
      </c>
      <c r="I20" s="22" t="s">
        <v>29</v>
      </c>
    </row>
    <row r="21" spans="1:9" ht="30.75" thickBot="1" x14ac:dyDescent="0.3">
      <c r="A21" s="28"/>
      <c r="B21" s="4" t="s">
        <v>56</v>
      </c>
      <c r="C21" s="4" t="s">
        <v>57</v>
      </c>
      <c r="D21" s="4"/>
      <c r="E21" s="4"/>
      <c r="F21" s="10"/>
      <c r="G21" s="22" t="s">
        <v>29</v>
      </c>
      <c r="H21" s="22">
        <f>'Table 4-7'!D22</f>
        <v>10000000</v>
      </c>
      <c r="I21" s="22" t="s">
        <v>29</v>
      </c>
    </row>
    <row r="22" spans="1:9" ht="39" customHeight="1" thickBot="1" x14ac:dyDescent="0.3">
      <c r="A22" s="29"/>
      <c r="B22" s="35" t="s">
        <v>152</v>
      </c>
      <c r="C22" s="36"/>
      <c r="D22" s="36"/>
      <c r="E22" s="36"/>
      <c r="F22" s="37"/>
      <c r="G22" s="23">
        <f>SUM(G18:G21)</f>
        <v>321000</v>
      </c>
      <c r="H22" s="23">
        <f t="shared" ref="H22:I22" si="1">SUM(H18:H21)</f>
        <v>195947000</v>
      </c>
      <c r="I22" s="23">
        <f t="shared" si="1"/>
        <v>0</v>
      </c>
    </row>
    <row r="23" spans="1:9" ht="45.75" thickBot="1" x14ac:dyDescent="0.3">
      <c r="A23" s="27" t="s">
        <v>58</v>
      </c>
      <c r="B23" s="4" t="s">
        <v>59</v>
      </c>
      <c r="C23" s="4" t="s">
        <v>60</v>
      </c>
      <c r="D23" s="4"/>
      <c r="E23" s="4"/>
      <c r="F23" s="10"/>
      <c r="G23" s="22" t="s">
        <v>29</v>
      </c>
      <c r="H23" s="22">
        <f>'Table 5-8'!D10</f>
        <v>147938000</v>
      </c>
      <c r="I23" s="22" t="s">
        <v>29</v>
      </c>
    </row>
    <row r="24" spans="1:9" ht="45.75" thickBot="1" x14ac:dyDescent="0.3">
      <c r="A24" s="28"/>
      <c r="B24" s="4" t="s">
        <v>61</v>
      </c>
      <c r="C24" s="4" t="s">
        <v>62</v>
      </c>
      <c r="D24" s="4"/>
      <c r="E24" s="4"/>
      <c r="F24" s="10" t="s">
        <v>54</v>
      </c>
      <c r="G24" s="22">
        <f>'Table 5-8'!D11</f>
        <v>702000</v>
      </c>
      <c r="H24" s="22" t="s">
        <v>29</v>
      </c>
      <c r="I24" s="22" t="s">
        <v>29</v>
      </c>
    </row>
    <row r="25" spans="1:9" ht="45.75" thickBot="1" x14ac:dyDescent="0.3">
      <c r="A25" s="28"/>
      <c r="B25" s="4" t="s">
        <v>61</v>
      </c>
      <c r="C25" s="4" t="s">
        <v>63</v>
      </c>
      <c r="D25" s="4"/>
      <c r="E25" s="4"/>
      <c r="F25" s="10"/>
      <c r="G25" s="22" t="s">
        <v>29</v>
      </c>
      <c r="H25" s="22">
        <f>'Table 5-8'!D20</f>
        <v>29405000</v>
      </c>
      <c r="I25" s="22" t="s">
        <v>29</v>
      </c>
    </row>
    <row r="26" spans="1:9" ht="30.75" thickBot="1" x14ac:dyDescent="0.3">
      <c r="A26" s="28"/>
      <c r="B26" s="4" t="s">
        <v>64</v>
      </c>
      <c r="C26" s="4" t="s">
        <v>65</v>
      </c>
      <c r="D26" s="4"/>
      <c r="E26" s="4"/>
      <c r="F26" s="10" t="s">
        <v>54</v>
      </c>
      <c r="G26" s="22">
        <f>'Table 5-8'!D21</f>
        <v>603000</v>
      </c>
      <c r="H26" s="22" t="s">
        <v>29</v>
      </c>
      <c r="I26" s="22" t="s">
        <v>29</v>
      </c>
    </row>
    <row r="27" spans="1:9" ht="75.75" thickBot="1" x14ac:dyDescent="0.3">
      <c r="A27" s="28"/>
      <c r="B27" s="4" t="s">
        <v>64</v>
      </c>
      <c r="C27" s="4" t="s">
        <v>66</v>
      </c>
      <c r="D27" s="4"/>
      <c r="E27" s="4"/>
      <c r="F27" s="10"/>
      <c r="G27" s="22" t="s">
        <v>29</v>
      </c>
      <c r="H27" s="22">
        <f>'Table 5-8'!D30</f>
        <v>28279000</v>
      </c>
      <c r="I27" s="22" t="s">
        <v>29</v>
      </c>
    </row>
    <row r="28" spans="1:9" ht="30.75" customHeight="1" thickBot="1" x14ac:dyDescent="0.3">
      <c r="A28" s="29"/>
      <c r="B28" s="35" t="s">
        <v>151</v>
      </c>
      <c r="C28" s="36"/>
      <c r="D28" s="36"/>
      <c r="E28" s="36"/>
      <c r="F28" s="37"/>
      <c r="G28" s="23">
        <f>SUM(G23:G27)</f>
        <v>1305000</v>
      </c>
      <c r="H28" s="23">
        <f t="shared" ref="H28:I28" si="2">SUM(H23:H27)</f>
        <v>205622000</v>
      </c>
      <c r="I28" s="23">
        <f t="shared" si="2"/>
        <v>0</v>
      </c>
    </row>
    <row r="29" spans="1:9" ht="30.75" thickBot="1" x14ac:dyDescent="0.3">
      <c r="A29" s="27" t="s">
        <v>67</v>
      </c>
      <c r="B29" s="4" t="s">
        <v>68</v>
      </c>
      <c r="C29" s="4" t="s">
        <v>69</v>
      </c>
      <c r="D29" s="4"/>
      <c r="E29" s="4"/>
      <c r="F29" s="10"/>
      <c r="G29" s="22" t="s">
        <v>29</v>
      </c>
      <c r="H29" s="22">
        <f>'Table 6-6'!D10</f>
        <v>59417000</v>
      </c>
      <c r="I29" s="22" t="s">
        <v>29</v>
      </c>
    </row>
    <row r="30" spans="1:9" ht="30.75" thickBot="1" x14ac:dyDescent="0.3">
      <c r="A30" s="28"/>
      <c r="B30" s="4" t="s">
        <v>70</v>
      </c>
      <c r="C30" s="4" t="s">
        <v>71</v>
      </c>
      <c r="D30" s="4"/>
      <c r="E30" s="4"/>
      <c r="F30" s="10" t="s">
        <v>54</v>
      </c>
      <c r="G30" s="22">
        <f>'Table 6-6'!D11</f>
        <v>699000</v>
      </c>
      <c r="H30" s="22" t="s">
        <v>29</v>
      </c>
      <c r="I30" s="22" t="s">
        <v>29</v>
      </c>
    </row>
    <row r="31" spans="1:9" ht="30.75" thickBot="1" x14ac:dyDescent="0.3">
      <c r="A31" s="28"/>
      <c r="B31" s="4" t="s">
        <v>70</v>
      </c>
      <c r="C31" s="4" t="s">
        <v>72</v>
      </c>
      <c r="D31" s="4"/>
      <c r="E31" s="4"/>
      <c r="F31" s="10"/>
      <c r="G31" s="22" t="s">
        <v>29</v>
      </c>
      <c r="H31" s="22">
        <f>'Table 6-6'!D20</f>
        <v>14987000</v>
      </c>
      <c r="I31" s="22" t="s">
        <v>29</v>
      </c>
    </row>
    <row r="32" spans="1:9" ht="30.75" thickBot="1" x14ac:dyDescent="0.3">
      <c r="A32" s="28"/>
      <c r="B32" s="4" t="s">
        <v>73</v>
      </c>
      <c r="C32" s="4" t="s">
        <v>57</v>
      </c>
      <c r="D32" s="4"/>
      <c r="E32" s="4"/>
      <c r="F32" s="10"/>
      <c r="G32" s="22" t="s">
        <v>29</v>
      </c>
      <c r="H32" s="22">
        <f>'Table 6-6'!D21</f>
        <v>10000000</v>
      </c>
      <c r="I32" s="22" t="s">
        <v>29</v>
      </c>
    </row>
    <row r="33" spans="1:9" ht="32.25" customHeight="1" thickBot="1" x14ac:dyDescent="0.3">
      <c r="A33" s="29"/>
      <c r="B33" s="35" t="s">
        <v>150</v>
      </c>
      <c r="C33" s="36"/>
      <c r="D33" s="36"/>
      <c r="E33" s="36"/>
      <c r="F33" s="37"/>
      <c r="G33" s="23">
        <f>SUM(G29:G32)</f>
        <v>699000</v>
      </c>
      <c r="H33" s="23">
        <f t="shared" ref="H33:I33" si="3">SUM(H29:H32)</f>
        <v>84404000</v>
      </c>
      <c r="I33" s="23">
        <f t="shared" si="3"/>
        <v>0</v>
      </c>
    </row>
    <row r="34" spans="1:9" ht="30.75" thickBot="1" x14ac:dyDescent="0.3">
      <c r="A34" s="27" t="s">
        <v>74</v>
      </c>
      <c r="B34" s="4" t="s">
        <v>75</v>
      </c>
      <c r="C34" s="4" t="s">
        <v>76</v>
      </c>
      <c r="D34" s="4"/>
      <c r="E34" s="4"/>
      <c r="F34" s="10"/>
      <c r="G34" s="22" t="s">
        <v>29</v>
      </c>
      <c r="H34" s="22">
        <f>'Table 7-9'!D10</f>
        <v>182717000</v>
      </c>
      <c r="I34" s="22" t="s">
        <v>29</v>
      </c>
    </row>
    <row r="35" spans="1:9" ht="30.75" thickBot="1" x14ac:dyDescent="0.3">
      <c r="A35" s="28"/>
      <c r="B35" s="4" t="s">
        <v>77</v>
      </c>
      <c r="C35" s="4" t="s">
        <v>78</v>
      </c>
      <c r="D35" s="4"/>
      <c r="E35" s="4"/>
      <c r="F35" s="10"/>
      <c r="G35" s="22" t="s">
        <v>29</v>
      </c>
      <c r="H35" s="22">
        <f>'Table 7-9'!D19</f>
        <v>4880000</v>
      </c>
      <c r="I35" s="22" t="s">
        <v>29</v>
      </c>
    </row>
    <row r="36" spans="1:9" ht="60.75" thickBot="1" x14ac:dyDescent="0.3">
      <c r="A36" s="28"/>
      <c r="B36" s="4" t="s">
        <v>79</v>
      </c>
      <c r="C36" s="4" t="s">
        <v>80</v>
      </c>
      <c r="D36" s="4"/>
      <c r="E36" s="4"/>
      <c r="F36" s="10"/>
      <c r="G36" s="22" t="s">
        <v>29</v>
      </c>
      <c r="H36" s="22">
        <f>'Table 7-9'!D28</f>
        <v>3034000</v>
      </c>
      <c r="I36" s="22" t="s">
        <v>29</v>
      </c>
    </row>
    <row r="37" spans="1:9" ht="30.75" thickBot="1" x14ac:dyDescent="0.3">
      <c r="A37" s="28"/>
      <c r="B37" s="4" t="s">
        <v>81</v>
      </c>
      <c r="C37" s="4" t="s">
        <v>82</v>
      </c>
      <c r="D37" s="4"/>
      <c r="E37" s="4"/>
      <c r="F37" s="10">
        <v>2025</v>
      </c>
      <c r="G37" s="22">
        <f>'Table 7-9'!D29</f>
        <v>706000</v>
      </c>
      <c r="H37" s="22" t="s">
        <v>29</v>
      </c>
      <c r="I37" s="22" t="s">
        <v>29</v>
      </c>
    </row>
    <row r="38" spans="1:9" ht="45.75" thickBot="1" x14ac:dyDescent="0.3">
      <c r="A38" s="28"/>
      <c r="B38" s="4" t="s">
        <v>81</v>
      </c>
      <c r="C38" s="4" t="s">
        <v>83</v>
      </c>
      <c r="D38" s="4"/>
      <c r="E38" s="4"/>
      <c r="F38" s="10"/>
      <c r="G38" s="22" t="s">
        <v>29</v>
      </c>
      <c r="H38" s="22">
        <f>'Table 7-9'!D38</f>
        <v>10117000</v>
      </c>
      <c r="I38" s="22" t="s">
        <v>29</v>
      </c>
    </row>
    <row r="39" spans="1:9" ht="34.5" customHeight="1" thickBot="1" x14ac:dyDescent="0.3">
      <c r="A39" s="29"/>
      <c r="B39" s="35" t="s">
        <v>149</v>
      </c>
      <c r="C39" s="36"/>
      <c r="D39" s="36"/>
      <c r="E39" s="36"/>
      <c r="F39" s="37"/>
      <c r="G39" s="23">
        <f>SUM(G34:G38)</f>
        <v>706000</v>
      </c>
      <c r="H39" s="23">
        <f t="shared" ref="H39:I39" si="4">SUM(H34:H38)</f>
        <v>200748000</v>
      </c>
      <c r="I39" s="23">
        <f t="shared" si="4"/>
        <v>0</v>
      </c>
    </row>
    <row r="40" spans="1:9" ht="48" customHeight="1" thickBot="1" x14ac:dyDescent="0.3">
      <c r="A40" s="27" t="s">
        <v>84</v>
      </c>
      <c r="B40" s="4" t="s">
        <v>85</v>
      </c>
      <c r="C40" s="4" t="s">
        <v>86</v>
      </c>
      <c r="D40" s="4"/>
      <c r="E40" s="4"/>
      <c r="F40" s="10"/>
      <c r="G40" s="22" t="s">
        <v>29</v>
      </c>
      <c r="H40" s="22" t="s">
        <v>29</v>
      </c>
      <c r="I40" s="22">
        <f>'Table 8-10'!D10</f>
        <v>198739000</v>
      </c>
    </row>
    <row r="41" spans="1:9" ht="30.75" thickBot="1" x14ac:dyDescent="0.3">
      <c r="A41" s="28"/>
      <c r="B41" s="4" t="s">
        <v>87</v>
      </c>
      <c r="C41" s="4" t="s">
        <v>88</v>
      </c>
      <c r="D41" s="4"/>
      <c r="E41" s="4"/>
      <c r="F41" s="10"/>
      <c r="G41" s="22" t="s">
        <v>29</v>
      </c>
      <c r="H41" s="22" t="s">
        <v>29</v>
      </c>
      <c r="I41" s="22">
        <f>'Table 8-10'!D19</f>
        <v>27543000</v>
      </c>
    </row>
    <row r="42" spans="1:9" ht="30.75" thickBot="1" x14ac:dyDescent="0.3">
      <c r="A42" s="28"/>
      <c r="B42" s="4" t="s">
        <v>89</v>
      </c>
      <c r="C42" s="4" t="s">
        <v>90</v>
      </c>
      <c r="D42" s="4"/>
      <c r="E42" s="4"/>
      <c r="F42" s="10"/>
      <c r="G42" s="22" t="s">
        <v>29</v>
      </c>
      <c r="H42" s="22" t="s">
        <v>29</v>
      </c>
      <c r="I42" s="22">
        <f>'Table 8-10'!D28</f>
        <v>18113000</v>
      </c>
    </row>
    <row r="43" spans="1:9" ht="32.25" customHeight="1" thickBot="1" x14ac:dyDescent="0.3">
      <c r="A43" s="29"/>
      <c r="B43" s="35" t="s">
        <v>148</v>
      </c>
      <c r="C43" s="36"/>
      <c r="D43" s="36"/>
      <c r="E43" s="36"/>
      <c r="F43" s="37"/>
      <c r="G43" s="23">
        <f>SUM(G40:G42)</f>
        <v>0</v>
      </c>
      <c r="H43" s="23">
        <f t="shared" ref="H43:I43" si="5">SUM(H40:H42)</f>
        <v>0</v>
      </c>
      <c r="I43" s="23">
        <f t="shared" si="5"/>
        <v>244395000</v>
      </c>
    </row>
    <row r="44" spans="1:9" ht="30.75" customHeight="1" thickBot="1" x14ac:dyDescent="0.3">
      <c r="A44" s="27" t="s">
        <v>91</v>
      </c>
      <c r="B44" s="38" t="s">
        <v>160</v>
      </c>
      <c r="C44" s="39"/>
      <c r="D44" s="4"/>
      <c r="E44" s="4"/>
      <c r="F44" s="10"/>
      <c r="G44" s="22">
        <f>G9+G15+G17+G22+G28+G33+G39+G43</f>
        <v>4090000</v>
      </c>
      <c r="H44" s="22">
        <f t="shared" ref="H44:I44" si="6">H9+H15+H17+H22+H28+H33+H39+H43</f>
        <v>1129981000</v>
      </c>
      <c r="I44" s="22">
        <f t="shared" si="6"/>
        <v>244395000</v>
      </c>
    </row>
    <row r="45" spans="1:9" ht="45.75" customHeight="1" thickBot="1" x14ac:dyDescent="0.3">
      <c r="A45" s="29"/>
      <c r="B45" s="30" t="s">
        <v>119</v>
      </c>
      <c r="C45" s="31"/>
      <c r="D45" s="31"/>
      <c r="E45" s="31"/>
      <c r="F45" s="32"/>
      <c r="G45" s="40">
        <f>SUM(G44:I44)</f>
        <v>1378466000</v>
      </c>
      <c r="H45" s="41"/>
      <c r="I45" s="42"/>
    </row>
    <row r="46" spans="1:9" x14ac:dyDescent="0.25">
      <c r="A46" t="s">
        <v>157</v>
      </c>
    </row>
    <row r="48" spans="1:9" x14ac:dyDescent="0.25">
      <c r="H48" s="7"/>
    </row>
  </sheetData>
  <mergeCells count="26">
    <mergeCell ref="B44:C44"/>
    <mergeCell ref="A44:A45"/>
    <mergeCell ref="G45:I45"/>
    <mergeCell ref="B45:F45"/>
    <mergeCell ref="A29:A33"/>
    <mergeCell ref="B33:F33"/>
    <mergeCell ref="A34:A39"/>
    <mergeCell ref="B39:F39"/>
    <mergeCell ref="A40:A43"/>
    <mergeCell ref="B43:F43"/>
    <mergeCell ref="A16:A17"/>
    <mergeCell ref="B17:F17"/>
    <mergeCell ref="B22:F22"/>
    <mergeCell ref="A18:A22"/>
    <mergeCell ref="B28:F28"/>
    <mergeCell ref="A23:A28"/>
    <mergeCell ref="A10:A15"/>
    <mergeCell ref="B15:F15"/>
    <mergeCell ref="D1:D2"/>
    <mergeCell ref="E1:E2"/>
    <mergeCell ref="G1:G2"/>
    <mergeCell ref="A3:A9"/>
    <mergeCell ref="B9:F9"/>
    <mergeCell ref="A1:A2"/>
    <mergeCell ref="B1:B2"/>
    <mergeCell ref="C1:C2"/>
  </mergeCells>
  <pageMargins left="0.7" right="0.7" top="0.75" bottom="0.75" header="0.3" footer="0.3"/>
  <pageSetup scale="41" orientation="portrait" r:id="rId1"/>
  <rowBreaks count="1" manualBreakCount="1">
    <brk id="48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28" workbookViewId="0">
      <selection activeCell="E39" sqref="E39"/>
    </sheetView>
  </sheetViews>
  <sheetFormatPr defaultRowHeight="15" x14ac:dyDescent="0.25"/>
  <cols>
    <col min="1" max="1" width="42" customWidth="1"/>
    <col min="2" max="2" width="16.28515625" style="20" bestFit="1" customWidth="1"/>
    <col min="3" max="3" width="14.28515625" bestFit="1" customWidth="1"/>
    <col min="4" max="4" width="10.5703125" bestFit="1" customWidth="1"/>
    <col min="5" max="5" width="12.5703125" bestFit="1" customWidth="1"/>
  </cols>
  <sheetData>
    <row r="1" spans="1:5" s="18" customFormat="1" x14ac:dyDescent="0.25">
      <c r="A1" s="18" t="s">
        <v>126</v>
      </c>
      <c r="B1" s="18" t="s">
        <v>127</v>
      </c>
      <c r="C1" s="18" t="s">
        <v>128</v>
      </c>
      <c r="D1" s="18" t="s">
        <v>129</v>
      </c>
      <c r="E1" s="18" t="s">
        <v>130</v>
      </c>
    </row>
    <row r="2" spans="1:5" x14ac:dyDescent="0.25">
      <c r="A2" t="s">
        <v>131</v>
      </c>
      <c r="B2" s="20">
        <v>1</v>
      </c>
      <c r="C2" s="16">
        <v>580000</v>
      </c>
      <c r="D2" s="19">
        <v>0.03</v>
      </c>
      <c r="E2" s="17">
        <f>ROUNDUP((1+D2)^2*C2,-3)</f>
        <v>616000</v>
      </c>
    </row>
    <row r="3" spans="1:5" x14ac:dyDescent="0.25">
      <c r="B3" s="20">
        <v>2</v>
      </c>
      <c r="C3" s="16">
        <v>3117000</v>
      </c>
      <c r="D3" s="19">
        <v>0.03</v>
      </c>
      <c r="E3" s="17">
        <f t="shared" ref="E3:E22" si="0">ROUNDUP((1+D3)^2*C3,-3)</f>
        <v>3307000</v>
      </c>
    </row>
    <row r="4" spans="1:5" x14ac:dyDescent="0.25">
      <c r="B4" s="20">
        <v>3</v>
      </c>
      <c r="C4" s="16">
        <v>3386000</v>
      </c>
      <c r="D4" s="19">
        <v>0.03</v>
      </c>
      <c r="E4" s="17">
        <f t="shared" si="0"/>
        <v>3593000</v>
      </c>
    </row>
    <row r="5" spans="1:5" x14ac:dyDescent="0.25">
      <c r="A5" t="s">
        <v>132</v>
      </c>
      <c r="B5" s="20">
        <v>1</v>
      </c>
      <c r="C5" s="16">
        <v>157000</v>
      </c>
      <c r="D5" s="19">
        <v>0.03</v>
      </c>
      <c r="E5" s="17">
        <f t="shared" si="0"/>
        <v>167000</v>
      </c>
    </row>
    <row r="6" spans="1:5" x14ac:dyDescent="0.25">
      <c r="B6" s="20">
        <v>2</v>
      </c>
      <c r="C6" s="16">
        <v>9594000</v>
      </c>
      <c r="D6" s="19">
        <v>0.03</v>
      </c>
      <c r="E6" s="17">
        <f t="shared" si="0"/>
        <v>10179000</v>
      </c>
    </row>
    <row r="7" spans="1:5" x14ac:dyDescent="0.25">
      <c r="B7" s="20">
        <v>3</v>
      </c>
      <c r="C7" s="16">
        <v>5481000</v>
      </c>
      <c r="D7" s="19">
        <v>0.03</v>
      </c>
      <c r="E7" s="17">
        <f t="shared" si="0"/>
        <v>5815000</v>
      </c>
    </row>
    <row r="8" spans="1:5" x14ac:dyDescent="0.25">
      <c r="A8" t="s">
        <v>133</v>
      </c>
      <c r="B8" s="20">
        <v>1</v>
      </c>
      <c r="C8" s="16">
        <v>285000</v>
      </c>
      <c r="D8" s="19">
        <v>0.03</v>
      </c>
      <c r="E8" s="17">
        <f t="shared" si="0"/>
        <v>303000</v>
      </c>
    </row>
    <row r="9" spans="1:5" x14ac:dyDescent="0.25">
      <c r="B9" s="20">
        <v>2</v>
      </c>
      <c r="C9" s="16">
        <v>653000</v>
      </c>
      <c r="D9" s="19">
        <v>0.03</v>
      </c>
      <c r="E9" s="17">
        <f t="shared" si="0"/>
        <v>693000</v>
      </c>
    </row>
    <row r="10" spans="1:5" x14ac:dyDescent="0.25">
      <c r="B10" s="20" t="s">
        <v>135</v>
      </c>
      <c r="C10" s="16">
        <v>139000</v>
      </c>
      <c r="D10" s="19">
        <v>0.03</v>
      </c>
      <c r="E10" s="17">
        <f t="shared" si="0"/>
        <v>148000</v>
      </c>
    </row>
    <row r="11" spans="1:5" x14ac:dyDescent="0.25">
      <c r="B11" s="20">
        <v>3</v>
      </c>
      <c r="C11" s="16">
        <v>6101000</v>
      </c>
      <c r="D11" s="19">
        <v>0.03</v>
      </c>
      <c r="E11" s="17">
        <f t="shared" si="0"/>
        <v>6473000</v>
      </c>
    </row>
    <row r="12" spans="1:5" x14ac:dyDescent="0.25">
      <c r="B12" s="20" t="s">
        <v>136</v>
      </c>
      <c r="C12" s="16">
        <v>3101000</v>
      </c>
      <c r="D12" s="19">
        <v>0.03</v>
      </c>
      <c r="E12" s="17">
        <f t="shared" si="0"/>
        <v>3290000</v>
      </c>
    </row>
    <row r="13" spans="1:5" x14ac:dyDescent="0.25">
      <c r="B13" s="20">
        <v>4</v>
      </c>
      <c r="C13" s="16">
        <v>6432000</v>
      </c>
      <c r="D13" s="19">
        <v>0.03</v>
      </c>
      <c r="E13" s="17">
        <f t="shared" si="0"/>
        <v>6824000</v>
      </c>
    </row>
    <row r="14" spans="1:5" x14ac:dyDescent="0.25">
      <c r="B14" s="20" t="s">
        <v>137</v>
      </c>
      <c r="C14" s="16">
        <v>3114000</v>
      </c>
      <c r="D14" s="19">
        <v>0.03</v>
      </c>
      <c r="E14" s="17">
        <f t="shared" si="0"/>
        <v>3304000</v>
      </c>
    </row>
    <row r="15" spans="1:5" x14ac:dyDescent="0.25">
      <c r="A15" t="s">
        <v>134</v>
      </c>
      <c r="B15" s="20">
        <v>1</v>
      </c>
      <c r="C15" s="16">
        <v>260000</v>
      </c>
      <c r="D15" s="19">
        <v>0.03</v>
      </c>
      <c r="E15" s="17">
        <f t="shared" si="0"/>
        <v>276000</v>
      </c>
    </row>
    <row r="16" spans="1:5" x14ac:dyDescent="0.25">
      <c r="B16" s="20">
        <v>2</v>
      </c>
      <c r="C16" s="16">
        <v>486000</v>
      </c>
      <c r="D16" s="19">
        <v>0.03</v>
      </c>
      <c r="E16" s="17">
        <f t="shared" si="0"/>
        <v>516000</v>
      </c>
    </row>
    <row r="17" spans="1:5" x14ac:dyDescent="0.25">
      <c r="B17" s="20">
        <v>3</v>
      </c>
      <c r="C17" s="16">
        <v>5583000</v>
      </c>
      <c r="D17" s="19">
        <v>0.03</v>
      </c>
      <c r="E17" s="17">
        <f t="shared" si="0"/>
        <v>5924000</v>
      </c>
    </row>
    <row r="18" spans="1:5" x14ac:dyDescent="0.25">
      <c r="B18" s="20" t="s">
        <v>136</v>
      </c>
      <c r="C18" s="16">
        <v>2316000</v>
      </c>
      <c r="D18" s="19">
        <v>0.03</v>
      </c>
      <c r="E18" s="17">
        <f t="shared" si="0"/>
        <v>2458000</v>
      </c>
    </row>
    <row r="19" spans="1:5" x14ac:dyDescent="0.25">
      <c r="B19" s="20" t="s">
        <v>138</v>
      </c>
      <c r="C19" s="16">
        <v>7430000</v>
      </c>
      <c r="D19" s="19">
        <v>0.03</v>
      </c>
      <c r="E19" s="17">
        <f t="shared" si="0"/>
        <v>7883000</v>
      </c>
    </row>
    <row r="20" spans="1:5" x14ac:dyDescent="0.25">
      <c r="B20" s="20">
        <v>4</v>
      </c>
      <c r="C20" s="16">
        <v>5661000</v>
      </c>
      <c r="D20" s="19">
        <v>0.03</v>
      </c>
      <c r="E20" s="17">
        <f t="shared" si="0"/>
        <v>6006000</v>
      </c>
    </row>
    <row r="21" spans="1:5" x14ac:dyDescent="0.25">
      <c r="B21" s="20" t="s">
        <v>137</v>
      </c>
      <c r="C21" s="16">
        <v>2106000</v>
      </c>
      <c r="D21" s="19">
        <v>0.03</v>
      </c>
      <c r="E21" s="17">
        <f t="shared" ref="E21" si="1">ROUNDUP((1+D21)^2*C21,-3)</f>
        <v>2235000</v>
      </c>
    </row>
    <row r="22" spans="1:5" x14ac:dyDescent="0.25">
      <c r="B22" s="20">
        <v>5</v>
      </c>
      <c r="C22" s="16">
        <v>7278000</v>
      </c>
      <c r="D22" s="19">
        <v>0.03</v>
      </c>
      <c r="E22" s="17">
        <f t="shared" si="0"/>
        <v>7722000</v>
      </c>
    </row>
    <row r="23" spans="1:5" x14ac:dyDescent="0.25">
      <c r="B23" s="20" t="s">
        <v>139</v>
      </c>
      <c r="C23" s="16">
        <v>3283000</v>
      </c>
      <c r="D23" s="19">
        <v>0.03</v>
      </c>
      <c r="E23" s="17">
        <f t="shared" ref="E23" si="2">ROUNDUP((1+D23)^2*C23,-3)</f>
        <v>3483000</v>
      </c>
    </row>
    <row r="24" spans="1:5" x14ac:dyDescent="0.25">
      <c r="A24" t="s">
        <v>140</v>
      </c>
      <c r="B24" s="20">
        <v>1</v>
      </c>
      <c r="C24" s="16">
        <v>302000</v>
      </c>
      <c r="D24" s="19">
        <v>0.03</v>
      </c>
      <c r="E24" s="17">
        <f>ROUNDUP((1+D24)^2*C24,-3)</f>
        <v>321000</v>
      </c>
    </row>
    <row r="25" spans="1:5" x14ac:dyDescent="0.25">
      <c r="B25" s="20">
        <v>2</v>
      </c>
      <c r="C25" s="16">
        <v>1361000</v>
      </c>
      <c r="D25" s="19">
        <v>0.03</v>
      </c>
      <c r="E25" s="17">
        <f t="shared" ref="E25:E26" si="3">ROUNDUP((1+D25)^2*C25,-3)</f>
        <v>1444000</v>
      </c>
    </row>
    <row r="26" spans="1:5" x14ac:dyDescent="0.25">
      <c r="B26" s="20">
        <v>3</v>
      </c>
      <c r="C26" s="16">
        <v>2335000</v>
      </c>
      <c r="D26" s="19">
        <v>0.03</v>
      </c>
      <c r="E26" s="17">
        <f t="shared" si="3"/>
        <v>2478000</v>
      </c>
    </row>
    <row r="27" spans="1:5" x14ac:dyDescent="0.25">
      <c r="B27" s="20">
        <v>4</v>
      </c>
      <c r="C27" s="16">
        <v>14693000</v>
      </c>
      <c r="D27" s="19">
        <v>0.03</v>
      </c>
      <c r="E27" s="17">
        <f t="shared" ref="E27:E28" si="4">ROUNDUP((1+D27)^2*C27,-3)</f>
        <v>15588000</v>
      </c>
    </row>
    <row r="28" spans="1:5" x14ac:dyDescent="0.25">
      <c r="B28" s="20">
        <v>5</v>
      </c>
      <c r="C28" s="16">
        <v>18560000</v>
      </c>
      <c r="D28" s="19">
        <v>0.03</v>
      </c>
      <c r="E28" s="17">
        <f t="shared" si="4"/>
        <v>19691000</v>
      </c>
    </row>
    <row r="29" spans="1:5" x14ac:dyDescent="0.25">
      <c r="A29" t="s">
        <v>141</v>
      </c>
      <c r="B29" s="20">
        <v>1</v>
      </c>
      <c r="C29" s="16">
        <v>319000</v>
      </c>
      <c r="D29" s="19">
        <v>0.03</v>
      </c>
      <c r="E29" s="17">
        <f>ROUNDUP((1+D29)^2*C29,-3)</f>
        <v>339000</v>
      </c>
    </row>
    <row r="30" spans="1:5" x14ac:dyDescent="0.25">
      <c r="B30" s="20">
        <v>2</v>
      </c>
      <c r="C30" s="16">
        <v>661000</v>
      </c>
      <c r="D30" s="19">
        <v>0.03</v>
      </c>
      <c r="E30" s="17">
        <f t="shared" ref="E30:E32" si="5">ROUNDUP((1+D30)^2*C30,-3)</f>
        <v>702000</v>
      </c>
    </row>
    <row r="31" spans="1:5" x14ac:dyDescent="0.25">
      <c r="B31" s="20">
        <v>3</v>
      </c>
      <c r="C31" s="16">
        <v>7853000</v>
      </c>
      <c r="D31" s="19">
        <v>0.03</v>
      </c>
      <c r="E31" s="17">
        <f t="shared" si="5"/>
        <v>8332000</v>
      </c>
    </row>
    <row r="32" spans="1:5" x14ac:dyDescent="0.25">
      <c r="B32" s="20">
        <v>4</v>
      </c>
      <c r="C32" s="16">
        <v>8156000</v>
      </c>
      <c r="D32" s="19">
        <v>0.03</v>
      </c>
      <c r="E32" s="17">
        <f t="shared" si="5"/>
        <v>8653000</v>
      </c>
    </row>
    <row r="33" spans="1:5" x14ac:dyDescent="0.25">
      <c r="A33" t="s">
        <v>143</v>
      </c>
      <c r="B33" s="20">
        <v>1</v>
      </c>
      <c r="C33" s="16">
        <v>568000</v>
      </c>
      <c r="D33" s="19">
        <v>0.03</v>
      </c>
      <c r="E33" s="17">
        <f>ROUNDUP((1+D33)^2*C33,-3)</f>
        <v>603000</v>
      </c>
    </row>
    <row r="34" spans="1:5" x14ac:dyDescent="0.25">
      <c r="B34" s="20">
        <v>2</v>
      </c>
      <c r="C34" s="16">
        <v>1253000</v>
      </c>
      <c r="D34" s="19">
        <v>0.03</v>
      </c>
      <c r="E34" s="17">
        <f t="shared" ref="E34:E37" si="6">ROUNDUP((1+D34)^2*C34,-3)</f>
        <v>1330000</v>
      </c>
    </row>
    <row r="35" spans="1:5" x14ac:dyDescent="0.25">
      <c r="B35" s="20">
        <v>3</v>
      </c>
      <c r="C35" s="16">
        <v>3845000</v>
      </c>
      <c r="D35" s="19">
        <v>0.03</v>
      </c>
      <c r="E35" s="17">
        <f t="shared" si="6"/>
        <v>4080000</v>
      </c>
    </row>
    <row r="36" spans="1:5" x14ac:dyDescent="0.25">
      <c r="B36" s="20">
        <v>4</v>
      </c>
      <c r="C36" s="16">
        <v>4976000</v>
      </c>
      <c r="D36" s="19">
        <v>0.03</v>
      </c>
      <c r="E36" s="17">
        <f t="shared" si="6"/>
        <v>5280000</v>
      </c>
    </row>
    <row r="37" spans="1:5" x14ac:dyDescent="0.25">
      <c r="B37" s="20">
        <v>5</v>
      </c>
      <c r="C37" s="16">
        <v>5461000</v>
      </c>
      <c r="D37" s="19">
        <v>0.03</v>
      </c>
      <c r="E37" s="17">
        <f t="shared" si="6"/>
        <v>5794000</v>
      </c>
    </row>
    <row r="38" spans="1:5" x14ac:dyDescent="0.25">
      <c r="A38" t="s">
        <v>142</v>
      </c>
      <c r="B38" s="20">
        <v>1</v>
      </c>
      <c r="C38" s="16">
        <v>658000</v>
      </c>
      <c r="D38" s="19">
        <v>0.03</v>
      </c>
      <c r="E38" s="17">
        <f>ROUNDUP((1+D38)^2*C38,-3)</f>
        <v>699000</v>
      </c>
    </row>
    <row r="39" spans="1:5" x14ac:dyDescent="0.25">
      <c r="B39" s="20">
        <v>2</v>
      </c>
      <c r="C39" s="16">
        <v>1297000</v>
      </c>
      <c r="D39" s="19">
        <v>0.03</v>
      </c>
      <c r="E39" s="17">
        <f t="shared" ref="E39:E40" si="7">ROUNDUP((1+D39)^2*C39,-3)</f>
        <v>1376000</v>
      </c>
    </row>
    <row r="40" spans="1:5" x14ac:dyDescent="0.25">
      <c r="B40" s="20">
        <v>3</v>
      </c>
      <c r="C40" s="16">
        <v>3850000</v>
      </c>
      <c r="D40" s="19">
        <v>0.03</v>
      </c>
      <c r="E40" s="17">
        <f t="shared" si="7"/>
        <v>4085000</v>
      </c>
    </row>
    <row r="41" spans="1:5" x14ac:dyDescent="0.25">
      <c r="A41" t="s">
        <v>144</v>
      </c>
      <c r="B41" s="20">
        <v>1</v>
      </c>
      <c r="C41" s="16">
        <v>1402000</v>
      </c>
      <c r="D41" s="19">
        <v>0.03</v>
      </c>
      <c r="E41" s="17">
        <f>ROUNDUP((1+D41)^2*C41,-3)</f>
        <v>1488000</v>
      </c>
    </row>
    <row r="42" spans="1:5" x14ac:dyDescent="0.25">
      <c r="B42" s="20">
        <v>2</v>
      </c>
      <c r="C42" s="16">
        <v>286000</v>
      </c>
      <c r="D42" s="19">
        <v>0.03</v>
      </c>
      <c r="E42" s="17">
        <f t="shared" ref="E42:E43" si="8">ROUNDUP((1+D42)^2*C42,-3)</f>
        <v>304000</v>
      </c>
    </row>
    <row r="43" spans="1:5" x14ac:dyDescent="0.25">
      <c r="B43" s="20">
        <v>3</v>
      </c>
      <c r="C43" s="16">
        <v>4442000</v>
      </c>
      <c r="D43" s="19">
        <v>0.03</v>
      </c>
      <c r="E43" s="17">
        <f t="shared" si="8"/>
        <v>4713000</v>
      </c>
    </row>
    <row r="44" spans="1:5" x14ac:dyDescent="0.25">
      <c r="A44" t="s">
        <v>145</v>
      </c>
      <c r="B44" s="20">
        <v>1</v>
      </c>
      <c r="C44" s="16">
        <v>100000</v>
      </c>
      <c r="D44" s="19">
        <v>0.03</v>
      </c>
      <c r="E44" s="17">
        <f>ROUNDUP((1+D44)^2*C44,-3)</f>
        <v>107000</v>
      </c>
    </row>
    <row r="45" spans="1:5" x14ac:dyDescent="0.25">
      <c r="B45" s="20">
        <v>2</v>
      </c>
      <c r="C45" s="16">
        <v>665000</v>
      </c>
      <c r="D45" s="19">
        <v>0.03</v>
      </c>
      <c r="E45" s="17">
        <f t="shared" ref="E45:E48" si="9">ROUNDUP((1+D45)^2*C45,-3)</f>
        <v>706000</v>
      </c>
    </row>
    <row r="46" spans="1:5" x14ac:dyDescent="0.25">
      <c r="B46" s="20" t="s">
        <v>135</v>
      </c>
      <c r="C46" s="16">
        <v>181000</v>
      </c>
      <c r="D46" s="19">
        <v>0.03</v>
      </c>
      <c r="E46" s="17">
        <f t="shared" si="9"/>
        <v>193000</v>
      </c>
    </row>
    <row r="47" spans="1:5" x14ac:dyDescent="0.25">
      <c r="B47" s="20">
        <v>3</v>
      </c>
      <c r="C47" s="16">
        <v>5183000</v>
      </c>
      <c r="D47" s="19">
        <v>0.03</v>
      </c>
      <c r="E47" s="17">
        <f t="shared" si="9"/>
        <v>5499000</v>
      </c>
    </row>
    <row r="48" spans="1:5" x14ac:dyDescent="0.25">
      <c r="B48" s="20" t="s">
        <v>136</v>
      </c>
      <c r="C48" s="16">
        <v>2168000</v>
      </c>
      <c r="D48" s="19">
        <v>0.03</v>
      </c>
      <c r="E48" s="17">
        <f t="shared" si="9"/>
        <v>2301000</v>
      </c>
    </row>
    <row r="49" spans="1:5" x14ac:dyDescent="0.25">
      <c r="A49" t="s">
        <v>87</v>
      </c>
    </row>
    <row r="50" spans="1:5" x14ac:dyDescent="0.25">
      <c r="A50" t="s">
        <v>89</v>
      </c>
      <c r="B50" s="20">
        <v>1</v>
      </c>
      <c r="C50" s="16">
        <v>1071000</v>
      </c>
      <c r="D50" s="19">
        <v>0.03</v>
      </c>
      <c r="E50" s="17">
        <f>ROUNDUP((1+D50)^2*C50,-3)</f>
        <v>1137000</v>
      </c>
    </row>
    <row r="51" spans="1:5" x14ac:dyDescent="0.25">
      <c r="B51" s="20">
        <v>2</v>
      </c>
      <c r="C51" s="16">
        <v>2558000</v>
      </c>
      <c r="D51" s="19">
        <v>0.03</v>
      </c>
      <c r="E51" s="17">
        <f t="shared" ref="E51:E54" si="10">ROUNDUP((1+D51)^2*C51,-3)</f>
        <v>2714000</v>
      </c>
    </row>
    <row r="52" spans="1:5" x14ac:dyDescent="0.25">
      <c r="B52" s="20">
        <v>3</v>
      </c>
      <c r="C52" s="16">
        <v>9636000</v>
      </c>
      <c r="D52" s="19">
        <v>0.03</v>
      </c>
      <c r="E52" s="17">
        <f t="shared" si="10"/>
        <v>10223000</v>
      </c>
    </row>
    <row r="53" spans="1:5" x14ac:dyDescent="0.25">
      <c r="B53" s="20">
        <v>4</v>
      </c>
      <c r="C53" s="16">
        <v>10359000</v>
      </c>
      <c r="D53" s="19">
        <v>0.03</v>
      </c>
      <c r="E53" s="17">
        <f t="shared" si="10"/>
        <v>10990000</v>
      </c>
    </row>
    <row r="54" spans="1:5" x14ac:dyDescent="0.25">
      <c r="B54" s="20">
        <v>5</v>
      </c>
      <c r="C54" s="16">
        <v>4568000</v>
      </c>
      <c r="D54" s="19">
        <v>0.03</v>
      </c>
      <c r="E54" s="17">
        <f t="shared" si="10"/>
        <v>4847000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7" workbookViewId="0">
      <selection activeCell="B11" sqref="B11"/>
    </sheetView>
  </sheetViews>
  <sheetFormatPr defaultRowHeight="15" x14ac:dyDescent="0.25"/>
  <cols>
    <col min="1" max="1" width="70.7109375" customWidth="1"/>
    <col min="2" max="4" width="20.7109375" customWidth="1"/>
  </cols>
  <sheetData>
    <row r="1" spans="1:4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15.75" thickBot="1" x14ac:dyDescent="0.3">
      <c r="A2" s="3" t="s">
        <v>4</v>
      </c>
      <c r="B2" s="4"/>
      <c r="C2" s="4"/>
      <c r="D2" s="4"/>
    </row>
    <row r="3" spans="1:4" ht="15.75" thickBot="1" x14ac:dyDescent="0.3">
      <c r="A3" s="5" t="s">
        <v>5</v>
      </c>
      <c r="B3" s="6"/>
      <c r="C3" s="8">
        <f>[1]Program!$E$53</f>
        <v>44982000</v>
      </c>
      <c r="D3" s="6"/>
    </row>
    <row r="4" spans="1:4" ht="15.75" thickBot="1" x14ac:dyDescent="0.3">
      <c r="A4" s="5" t="s">
        <v>6</v>
      </c>
      <c r="B4" s="6"/>
      <c r="C4" s="8">
        <f>[1]Program!$E$65</f>
        <v>26887000</v>
      </c>
      <c r="D4" s="6"/>
    </row>
    <row r="5" spans="1:4" ht="15.75" thickBot="1" x14ac:dyDescent="0.3">
      <c r="A5" s="5" t="s">
        <v>7</v>
      </c>
      <c r="B5" s="6"/>
      <c r="C5" s="8">
        <f>[1]Program!$E$84</f>
        <v>38547000</v>
      </c>
      <c r="D5" s="6"/>
    </row>
    <row r="6" spans="1:4" ht="15.75" thickBot="1" x14ac:dyDescent="0.3">
      <c r="A6" s="5" t="s">
        <v>8</v>
      </c>
      <c r="B6" s="6"/>
      <c r="C6" s="8">
        <f>[1]Program!$E$98</f>
        <v>0</v>
      </c>
      <c r="D6" s="6"/>
    </row>
    <row r="7" spans="1:4" ht="15.75" thickBot="1" x14ac:dyDescent="0.3">
      <c r="A7" s="5" t="s">
        <v>9</v>
      </c>
      <c r="B7" s="6"/>
      <c r="C7" s="8">
        <f>[1]Program!$E$103</f>
        <v>5521000</v>
      </c>
      <c r="D7" s="6"/>
    </row>
    <row r="8" spans="1:4" ht="15.75" thickBot="1" x14ac:dyDescent="0.3">
      <c r="A8" s="5" t="s">
        <v>10</v>
      </c>
      <c r="B8" s="6"/>
      <c r="C8" s="8">
        <f>[1]Program!$E$107</f>
        <v>27825000</v>
      </c>
      <c r="D8" s="6"/>
    </row>
    <row r="9" spans="1:4" ht="15.75" thickBot="1" x14ac:dyDescent="0.3">
      <c r="A9" s="5" t="s">
        <v>11</v>
      </c>
      <c r="B9" s="6"/>
      <c r="C9" s="8">
        <f>[1]Program!$E$117</f>
        <v>49885000</v>
      </c>
      <c r="D9" s="6"/>
    </row>
    <row r="10" spans="1:4" ht="15.75" thickBot="1" x14ac:dyDescent="0.3">
      <c r="A10" s="5" t="s">
        <v>156</v>
      </c>
      <c r="B10" s="6"/>
      <c r="C10" s="8">
        <f>[1]Program!$E$128+[1]Program!$E$136</f>
        <v>12753000</v>
      </c>
      <c r="D10" s="8">
        <f>SUM(C3:C10)</f>
        <v>206400000</v>
      </c>
    </row>
    <row r="11" spans="1:4" ht="15.75" thickBot="1" x14ac:dyDescent="0.3">
      <c r="A11" s="3" t="s">
        <v>12</v>
      </c>
      <c r="B11" s="8">
        <f>'Short-term or Intermediate Alt.'!E2</f>
        <v>616000</v>
      </c>
      <c r="C11" s="4"/>
      <c r="D11" s="13">
        <f>B11</f>
        <v>616000</v>
      </c>
    </row>
    <row r="12" spans="1:4" ht="15.75" thickBot="1" x14ac:dyDescent="0.3">
      <c r="A12" s="3" t="s">
        <v>13</v>
      </c>
      <c r="B12" s="4"/>
      <c r="C12" s="4"/>
      <c r="D12" s="4"/>
    </row>
    <row r="13" spans="1:4" ht="15.75" thickBot="1" x14ac:dyDescent="0.3">
      <c r="A13" s="5" t="s">
        <v>5</v>
      </c>
      <c r="B13" s="4"/>
      <c r="C13" s="8">
        <f>[2]Program!$E$53</f>
        <v>3751000</v>
      </c>
      <c r="D13" s="4"/>
    </row>
    <row r="14" spans="1:4" ht="15.75" thickBot="1" x14ac:dyDescent="0.3">
      <c r="A14" s="5" t="s">
        <v>6</v>
      </c>
      <c r="B14" s="4"/>
      <c r="C14" s="8">
        <f>[2]Program!$E$65</f>
        <v>2243000</v>
      </c>
      <c r="D14" s="4"/>
    </row>
    <row r="15" spans="1:4" ht="15.75" thickBot="1" x14ac:dyDescent="0.3">
      <c r="A15" s="5" t="s">
        <v>7</v>
      </c>
      <c r="B15" s="4"/>
      <c r="C15" s="8">
        <f>[2]Program!$E$84</f>
        <v>1273000</v>
      </c>
      <c r="D15" s="4"/>
    </row>
    <row r="16" spans="1:4" ht="15.75" thickBot="1" x14ac:dyDescent="0.3">
      <c r="A16" s="5" t="s">
        <v>8</v>
      </c>
      <c r="B16" s="4"/>
      <c r="C16" s="8">
        <f>[2]Program!$E$98</f>
        <v>0</v>
      </c>
      <c r="D16" s="4"/>
    </row>
    <row r="17" spans="1:4" ht="15.75" thickBot="1" x14ac:dyDescent="0.3">
      <c r="A17" s="5" t="s">
        <v>9</v>
      </c>
      <c r="B17" s="4"/>
      <c r="C17" s="8">
        <f>[2]Program!$E$103</f>
        <v>363000</v>
      </c>
      <c r="D17" s="4"/>
    </row>
    <row r="18" spans="1:4" ht="15.75" thickBot="1" x14ac:dyDescent="0.3">
      <c r="A18" s="5" t="s">
        <v>10</v>
      </c>
      <c r="B18" s="4"/>
      <c r="C18" s="8">
        <f>[2]Program!$E$107</f>
        <v>1831000</v>
      </c>
      <c r="D18" s="4"/>
    </row>
    <row r="19" spans="1:4" ht="15.75" thickBot="1" x14ac:dyDescent="0.3">
      <c r="A19" s="5" t="s">
        <v>11</v>
      </c>
      <c r="B19" s="4"/>
      <c r="C19" s="8">
        <f>[2]Program!$E$117</f>
        <v>3283000</v>
      </c>
      <c r="D19" s="4"/>
    </row>
    <row r="20" spans="1:4" ht="15.75" thickBot="1" x14ac:dyDescent="0.3">
      <c r="A20" s="5" t="s">
        <v>156</v>
      </c>
      <c r="B20" s="4"/>
      <c r="C20" s="8">
        <f>[2]Program!$E$128+[2]Program!$E$136</f>
        <v>839000</v>
      </c>
      <c r="D20" s="13">
        <f>SUM(C13:C20)</f>
        <v>13583000</v>
      </c>
    </row>
    <row r="21" spans="1:4" ht="30.75" thickBot="1" x14ac:dyDescent="0.3">
      <c r="A21" s="3" t="s">
        <v>146</v>
      </c>
      <c r="B21" s="8">
        <f>'Short-term or Intermediate Alt.'!E5</f>
        <v>167000</v>
      </c>
      <c r="C21" s="4"/>
      <c r="D21" s="13">
        <f>B21</f>
        <v>167000</v>
      </c>
    </row>
    <row r="22" spans="1:4" ht="15.75" thickBot="1" x14ac:dyDescent="0.3">
      <c r="A22" s="3" t="s">
        <v>14</v>
      </c>
      <c r="B22" s="4"/>
      <c r="C22" s="4"/>
      <c r="D22" s="4"/>
    </row>
    <row r="23" spans="1:4" ht="15.75" thickBot="1" x14ac:dyDescent="0.3">
      <c r="A23" s="5" t="s">
        <v>5</v>
      </c>
      <c r="B23" s="4"/>
      <c r="C23" s="8">
        <f>[3]Program!$E$53</f>
        <v>2661000</v>
      </c>
      <c r="D23" s="4"/>
    </row>
    <row r="24" spans="1:4" ht="15.75" thickBot="1" x14ac:dyDescent="0.3">
      <c r="A24" s="5" t="s">
        <v>6</v>
      </c>
      <c r="B24" s="4"/>
      <c r="C24" s="8">
        <f>[3]Program!$E$65</f>
        <v>1592000</v>
      </c>
      <c r="D24" s="4"/>
    </row>
    <row r="25" spans="1:4" ht="15.75" thickBot="1" x14ac:dyDescent="0.3">
      <c r="A25" s="5" t="s">
        <v>7</v>
      </c>
      <c r="B25" s="4"/>
      <c r="C25" s="8">
        <f>[3]Program!$E$84</f>
        <v>0</v>
      </c>
      <c r="D25" s="4"/>
    </row>
    <row r="26" spans="1:4" ht="15.75" thickBot="1" x14ac:dyDescent="0.3">
      <c r="A26" s="5" t="s">
        <v>8</v>
      </c>
      <c r="B26" s="4"/>
      <c r="C26" s="8">
        <f>[3]Program!$E$98</f>
        <v>0</v>
      </c>
      <c r="D26" s="4"/>
    </row>
    <row r="27" spans="1:4" ht="15.75" thickBot="1" x14ac:dyDescent="0.3">
      <c r="A27" s="5" t="s">
        <v>9</v>
      </c>
      <c r="B27" s="4"/>
      <c r="C27" s="8">
        <f>[3]Program!$E$103</f>
        <v>213000</v>
      </c>
      <c r="D27" s="4"/>
    </row>
    <row r="28" spans="1:4" ht="15.75" thickBot="1" x14ac:dyDescent="0.3">
      <c r="A28" s="5" t="s">
        <v>10</v>
      </c>
      <c r="B28" s="4"/>
      <c r="C28" s="8">
        <f>[3]Program!$E$107</f>
        <v>1072000</v>
      </c>
      <c r="D28" s="4"/>
    </row>
    <row r="29" spans="1:4" ht="15.75" thickBot="1" x14ac:dyDescent="0.3">
      <c r="A29" s="5" t="s">
        <v>11</v>
      </c>
      <c r="B29" s="4"/>
      <c r="C29" s="8">
        <f>[3]Program!$E$117</f>
        <v>1921000</v>
      </c>
      <c r="D29" s="4"/>
    </row>
    <row r="30" spans="1:4" ht="15.75" thickBot="1" x14ac:dyDescent="0.3">
      <c r="A30" s="5" t="s">
        <v>156</v>
      </c>
      <c r="B30" s="4"/>
      <c r="C30" s="8">
        <f>[3]Program!$E$128+[3]Program!$E$136</f>
        <v>491000</v>
      </c>
      <c r="D30" s="13">
        <f>SUM(C23:C30)</f>
        <v>7950000</v>
      </c>
    </row>
    <row r="31" spans="1:4" ht="15.75" thickBot="1" x14ac:dyDescent="0.3">
      <c r="A31" s="3" t="s">
        <v>15</v>
      </c>
      <c r="B31" s="4"/>
      <c r="C31" s="4"/>
      <c r="D31" s="4"/>
    </row>
    <row r="32" spans="1:4" ht="15.75" thickBot="1" x14ac:dyDescent="0.3">
      <c r="A32" s="5" t="s">
        <v>5</v>
      </c>
      <c r="B32" s="4"/>
      <c r="C32" s="8">
        <f>[4]Program!$E$53</f>
        <v>2463000</v>
      </c>
      <c r="D32" s="4"/>
    </row>
    <row r="33" spans="1:4" ht="15.75" thickBot="1" x14ac:dyDescent="0.3">
      <c r="A33" s="5" t="s">
        <v>6</v>
      </c>
      <c r="B33" s="4"/>
      <c r="C33" s="8">
        <f>[4]Program!$E$65</f>
        <v>1474000</v>
      </c>
      <c r="D33" s="4"/>
    </row>
    <row r="34" spans="1:4" ht="15.75" thickBot="1" x14ac:dyDescent="0.3">
      <c r="A34" s="5" t="s">
        <v>7</v>
      </c>
      <c r="B34" s="4"/>
      <c r="C34" s="8">
        <f>[4]Program!$E$84</f>
        <v>1767000</v>
      </c>
      <c r="D34" s="4"/>
    </row>
    <row r="35" spans="1:4" ht="15.75" thickBot="1" x14ac:dyDescent="0.3">
      <c r="A35" s="5" t="s">
        <v>8</v>
      </c>
      <c r="B35" s="4"/>
      <c r="C35" s="8">
        <f>[4]Program!$E$98</f>
        <v>300000</v>
      </c>
      <c r="D35" s="4"/>
    </row>
    <row r="36" spans="1:4" ht="15.75" thickBot="1" x14ac:dyDescent="0.3">
      <c r="A36" s="5" t="s">
        <v>9</v>
      </c>
      <c r="B36" s="4"/>
      <c r="C36" s="8">
        <f>[4]Program!$E$103</f>
        <v>300000</v>
      </c>
      <c r="D36" s="4"/>
    </row>
    <row r="37" spans="1:4" ht="15.75" thickBot="1" x14ac:dyDescent="0.3">
      <c r="A37" s="5" t="s">
        <v>10</v>
      </c>
      <c r="B37" s="4"/>
      <c r="C37" s="8">
        <f>[4]Program!$E$107</f>
        <v>1513000</v>
      </c>
      <c r="D37" s="4"/>
    </row>
    <row r="38" spans="1:4" ht="15.75" thickBot="1" x14ac:dyDescent="0.3">
      <c r="A38" s="5" t="s">
        <v>11</v>
      </c>
      <c r="B38" s="4"/>
      <c r="C38" s="8">
        <f>[4]Program!$E$117</f>
        <v>2712000</v>
      </c>
      <c r="D38" s="4"/>
    </row>
    <row r="39" spans="1:4" ht="15.75" thickBot="1" x14ac:dyDescent="0.3">
      <c r="A39" s="5" t="s">
        <v>156</v>
      </c>
      <c r="B39" s="4"/>
      <c r="C39" s="8">
        <f>[4]Program!$E$128+[4]Program!$E$136</f>
        <v>1323000</v>
      </c>
      <c r="D39" s="13">
        <f>SUM(C32:C39)</f>
        <v>11852000</v>
      </c>
    </row>
    <row r="40" spans="1:4" s="15" customFormat="1" ht="15.75" thickBot="1" x14ac:dyDescent="0.3">
      <c r="A40" s="9" t="s">
        <v>16</v>
      </c>
      <c r="B40" s="14">
        <f>SUM(B2:B39)</f>
        <v>783000</v>
      </c>
      <c r="C40" s="14">
        <f>SUM(C2:C39)</f>
        <v>239785000</v>
      </c>
      <c r="D40" s="14">
        <f>SUM(D2:D39)</f>
        <v>240568000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C11" sqref="C11"/>
    </sheetView>
  </sheetViews>
  <sheetFormatPr defaultRowHeight="15" x14ac:dyDescent="0.25"/>
  <cols>
    <col min="1" max="1" width="70.7109375" customWidth="1"/>
    <col min="2" max="4" width="20.7109375" customWidth="1"/>
  </cols>
  <sheetData>
    <row r="1" spans="1:4" ht="15.75" x14ac:dyDescent="0.25">
      <c r="A1" s="43" t="s">
        <v>0</v>
      </c>
      <c r="B1" s="11" t="s">
        <v>92</v>
      </c>
      <c r="C1" s="43" t="s">
        <v>2</v>
      </c>
      <c r="D1" s="43" t="s">
        <v>3</v>
      </c>
    </row>
    <row r="2" spans="1:4" ht="16.5" thickBot="1" x14ac:dyDescent="0.3">
      <c r="A2" s="44"/>
      <c r="B2" s="12" t="s">
        <v>93</v>
      </c>
      <c r="C2" s="44"/>
      <c r="D2" s="44"/>
    </row>
    <row r="3" spans="1:4" ht="15.75" thickBot="1" x14ac:dyDescent="0.3">
      <c r="A3" s="3" t="s">
        <v>94</v>
      </c>
      <c r="B3" s="8"/>
      <c r="C3" s="4"/>
      <c r="D3" s="4"/>
    </row>
    <row r="4" spans="1:4" ht="15.75" thickBot="1" x14ac:dyDescent="0.3">
      <c r="A4" s="5" t="s">
        <v>5</v>
      </c>
      <c r="B4" s="8"/>
      <c r="C4" s="8">
        <f>[5]Program!$E$53</f>
        <v>14185000</v>
      </c>
      <c r="D4" s="4"/>
    </row>
    <row r="5" spans="1:4" ht="15.75" thickBot="1" x14ac:dyDescent="0.3">
      <c r="A5" s="5" t="s">
        <v>6</v>
      </c>
      <c r="B5" s="8"/>
      <c r="C5" s="8">
        <f>[5]Program!$E$65</f>
        <v>8479000</v>
      </c>
      <c r="D5" s="4"/>
    </row>
    <row r="6" spans="1:4" ht="15.75" thickBot="1" x14ac:dyDescent="0.3">
      <c r="A6" s="5" t="s">
        <v>7</v>
      </c>
      <c r="B6" s="8"/>
      <c r="C6" s="8">
        <f>[5]Program!$E$84</f>
        <v>26126000</v>
      </c>
      <c r="D6" s="4"/>
    </row>
    <row r="7" spans="1:4" ht="15.75" thickBot="1" x14ac:dyDescent="0.3">
      <c r="A7" s="5" t="s">
        <v>8</v>
      </c>
      <c r="B7" s="8"/>
      <c r="C7" s="8">
        <f>[5]Program!$E$98</f>
        <v>0</v>
      </c>
      <c r="D7" s="4"/>
    </row>
    <row r="8" spans="1:4" ht="15.75" thickBot="1" x14ac:dyDescent="0.3">
      <c r="A8" s="5" t="s">
        <v>9</v>
      </c>
      <c r="B8" s="8"/>
      <c r="C8" s="8">
        <f>[5]Program!$E$103</f>
        <v>2440000</v>
      </c>
      <c r="D8" s="4"/>
    </row>
    <row r="9" spans="1:4" ht="15.75" thickBot="1" x14ac:dyDescent="0.3">
      <c r="A9" s="5" t="s">
        <v>10</v>
      </c>
      <c r="B9" s="8"/>
      <c r="C9" s="8">
        <f>[5]Program!$E$107</f>
        <v>12295000</v>
      </c>
      <c r="D9" s="4"/>
    </row>
    <row r="10" spans="1:4" ht="15.75" thickBot="1" x14ac:dyDescent="0.3">
      <c r="A10" s="5" t="s">
        <v>11</v>
      </c>
      <c r="B10" s="8"/>
      <c r="C10" s="8">
        <f>[5]Program!$E$117</f>
        <v>22043000</v>
      </c>
      <c r="D10" s="4"/>
    </row>
    <row r="11" spans="1:4" ht="15.75" thickBot="1" x14ac:dyDescent="0.3">
      <c r="A11" s="5" t="s">
        <v>156</v>
      </c>
      <c r="B11" s="8"/>
      <c r="C11" s="8">
        <f>[5]Program!$E$128+[5]Program!$E$136</f>
        <v>5635000</v>
      </c>
      <c r="D11" s="13">
        <f>SUM(C4:C11)</f>
        <v>91203000</v>
      </c>
    </row>
    <row r="12" spans="1:4" ht="15.75" thickBot="1" x14ac:dyDescent="0.3">
      <c r="A12" s="3" t="s">
        <v>95</v>
      </c>
      <c r="B12" s="8">
        <f>'Short-term or Intermediate Alt.'!E15</f>
        <v>276000</v>
      </c>
      <c r="C12" s="8"/>
      <c r="D12" s="13">
        <f>B12</f>
        <v>276000</v>
      </c>
    </row>
    <row r="13" spans="1:4" ht="15.75" thickBot="1" x14ac:dyDescent="0.3">
      <c r="A13" s="3" t="s">
        <v>96</v>
      </c>
      <c r="B13" s="8"/>
      <c r="C13" s="8"/>
      <c r="D13" s="4"/>
    </row>
    <row r="14" spans="1:4" ht="15.75" thickBot="1" x14ac:dyDescent="0.3">
      <c r="A14" s="5" t="s">
        <v>5</v>
      </c>
      <c r="B14" s="8"/>
      <c r="C14" s="8">
        <f>[6]Program!$E$53</f>
        <v>3761000</v>
      </c>
      <c r="D14" s="4"/>
    </row>
    <row r="15" spans="1:4" ht="15.75" thickBot="1" x14ac:dyDescent="0.3">
      <c r="A15" s="5" t="s">
        <v>6</v>
      </c>
      <c r="B15" s="8"/>
      <c r="C15" s="8">
        <f>[6]Program!$E$65</f>
        <v>2248000</v>
      </c>
      <c r="D15" s="4"/>
    </row>
    <row r="16" spans="1:4" ht="15.75" thickBot="1" x14ac:dyDescent="0.3">
      <c r="A16" s="5" t="s">
        <v>7</v>
      </c>
      <c r="B16" s="8"/>
      <c r="C16" s="8">
        <f>[6]Program!$E$84</f>
        <v>1775000</v>
      </c>
      <c r="D16" s="4"/>
    </row>
    <row r="17" spans="1:4" ht="15.75" thickBot="1" x14ac:dyDescent="0.3">
      <c r="A17" s="5" t="s">
        <v>8</v>
      </c>
      <c r="B17" s="8"/>
      <c r="C17" s="8">
        <f>[6]Program!$E$98</f>
        <v>0</v>
      </c>
      <c r="D17" s="4"/>
    </row>
    <row r="18" spans="1:4" ht="15.75" thickBot="1" x14ac:dyDescent="0.3">
      <c r="A18" s="5" t="s">
        <v>9</v>
      </c>
      <c r="B18" s="8"/>
      <c r="C18" s="8">
        <f>[6]Program!$E$103</f>
        <v>389000</v>
      </c>
      <c r="D18" s="4"/>
    </row>
    <row r="19" spans="1:4" ht="15.75" thickBot="1" x14ac:dyDescent="0.3">
      <c r="A19" s="5" t="s">
        <v>10</v>
      </c>
      <c r="B19" s="8"/>
      <c r="C19" s="8">
        <f>[6]Program!$E$107</f>
        <v>1962000</v>
      </c>
      <c r="D19" s="4"/>
    </row>
    <row r="20" spans="1:4" ht="15.75" thickBot="1" x14ac:dyDescent="0.3">
      <c r="A20" s="5" t="s">
        <v>11</v>
      </c>
      <c r="B20" s="8"/>
      <c r="C20" s="8">
        <f>[6]Program!$E$117</f>
        <v>3516000</v>
      </c>
      <c r="D20" s="4"/>
    </row>
    <row r="21" spans="1:4" ht="15.75" thickBot="1" x14ac:dyDescent="0.3">
      <c r="A21" s="5" t="s">
        <v>156</v>
      </c>
      <c r="B21" s="8"/>
      <c r="C21" s="8">
        <f>[6]Program!$E$128+[6]Program!$E$136</f>
        <v>1716000</v>
      </c>
      <c r="D21" s="13">
        <f>SUM(C14:C21)</f>
        <v>15367000</v>
      </c>
    </row>
    <row r="22" spans="1:4" ht="15.75" thickBot="1" x14ac:dyDescent="0.3">
      <c r="A22" s="3" t="s">
        <v>97</v>
      </c>
      <c r="B22" s="8"/>
      <c r="C22" s="8"/>
      <c r="D22" s="4"/>
    </row>
    <row r="23" spans="1:4" ht="15.75" thickBot="1" x14ac:dyDescent="0.3">
      <c r="A23" s="5" t="s">
        <v>5</v>
      </c>
      <c r="B23" s="8"/>
      <c r="C23" s="8">
        <f>[7]Program!$E$53</f>
        <v>8747000</v>
      </c>
      <c r="D23" s="4"/>
    </row>
    <row r="24" spans="1:4" ht="15.75" thickBot="1" x14ac:dyDescent="0.3">
      <c r="A24" s="5" t="s">
        <v>6</v>
      </c>
      <c r="B24" s="8"/>
      <c r="C24" s="8">
        <f>[7]Program!$E$65</f>
        <v>5227000</v>
      </c>
      <c r="D24" s="4"/>
    </row>
    <row r="25" spans="1:4" ht="15.75" thickBot="1" x14ac:dyDescent="0.3">
      <c r="A25" s="5" t="s">
        <v>7</v>
      </c>
      <c r="B25" s="8"/>
      <c r="C25" s="8">
        <f>[7]Program!$E$84</f>
        <v>2493000</v>
      </c>
      <c r="D25" s="4"/>
    </row>
    <row r="26" spans="1:4" ht="15.75" thickBot="1" x14ac:dyDescent="0.3">
      <c r="A26" s="5" t="s">
        <v>8</v>
      </c>
      <c r="B26" s="8"/>
      <c r="C26" s="8">
        <f>[7]Program!$E$98</f>
        <v>5000000</v>
      </c>
      <c r="D26" s="4"/>
    </row>
    <row r="27" spans="1:4" ht="15.75" thickBot="1" x14ac:dyDescent="0.3">
      <c r="A27" s="5" t="s">
        <v>9</v>
      </c>
      <c r="B27" s="8"/>
      <c r="C27" s="8">
        <f>[7]Program!$E$103</f>
        <v>1073000</v>
      </c>
      <c r="D27" s="4"/>
    </row>
    <row r="28" spans="1:4" ht="15.75" thickBot="1" x14ac:dyDescent="0.3">
      <c r="A28" s="5" t="s">
        <v>10</v>
      </c>
      <c r="B28" s="8"/>
      <c r="C28" s="8">
        <f>[7]Program!$E$107</f>
        <v>5410000</v>
      </c>
      <c r="D28" s="4"/>
    </row>
    <row r="29" spans="1:4" ht="15.75" thickBot="1" x14ac:dyDescent="0.3">
      <c r="A29" s="5" t="s">
        <v>11</v>
      </c>
      <c r="B29" s="8"/>
      <c r="C29" s="8">
        <f>[7]Program!$E$117</f>
        <v>9698000</v>
      </c>
      <c r="D29" s="4"/>
    </row>
    <row r="30" spans="1:4" ht="15.75" thickBot="1" x14ac:dyDescent="0.3">
      <c r="A30" s="5" t="s">
        <v>156</v>
      </c>
      <c r="B30" s="8"/>
      <c r="C30" s="8">
        <f>[7]Program!$E$128+[7]Program!$E$136</f>
        <v>2479000</v>
      </c>
      <c r="D30" s="13">
        <f>SUM(C23:C30)</f>
        <v>40127000</v>
      </c>
    </row>
    <row r="31" spans="1:4" ht="15.75" thickBot="1" x14ac:dyDescent="0.3">
      <c r="A31" s="3" t="s">
        <v>98</v>
      </c>
      <c r="B31" s="8"/>
      <c r="C31" s="8"/>
      <c r="D31" s="4"/>
    </row>
    <row r="32" spans="1:4" ht="15.75" thickBot="1" x14ac:dyDescent="0.3">
      <c r="A32" s="5" t="s">
        <v>5</v>
      </c>
      <c r="B32" s="8"/>
      <c r="C32" s="8">
        <f>[8]Program!$E$53</f>
        <v>6355000</v>
      </c>
      <c r="D32" s="4"/>
    </row>
    <row r="33" spans="1:4" ht="15.75" thickBot="1" x14ac:dyDescent="0.3">
      <c r="A33" s="5" t="s">
        <v>6</v>
      </c>
      <c r="B33" s="8"/>
      <c r="C33" s="8">
        <f>[8]Program!$E$65</f>
        <v>3799000</v>
      </c>
      <c r="D33" s="4"/>
    </row>
    <row r="34" spans="1:4" ht="15.75" thickBot="1" x14ac:dyDescent="0.3">
      <c r="A34" s="5" t="s">
        <v>7</v>
      </c>
      <c r="B34" s="8"/>
      <c r="C34" s="8">
        <f>[8]Program!$E$84</f>
        <v>1229000</v>
      </c>
      <c r="D34" s="4"/>
    </row>
    <row r="35" spans="1:4" ht="15.75" thickBot="1" x14ac:dyDescent="0.3">
      <c r="A35" s="5" t="s">
        <v>8</v>
      </c>
      <c r="B35" s="8"/>
      <c r="C35" s="8">
        <f>[8]Program!$E$98</f>
        <v>0</v>
      </c>
      <c r="D35" s="4"/>
    </row>
    <row r="36" spans="1:4" ht="15.75" thickBot="1" x14ac:dyDescent="0.3">
      <c r="A36" s="5" t="s">
        <v>9</v>
      </c>
      <c r="B36" s="8"/>
      <c r="C36" s="8">
        <f>[8]Program!$E$103</f>
        <v>569000</v>
      </c>
      <c r="D36" s="4"/>
    </row>
    <row r="37" spans="1:4" ht="15.75" thickBot="1" x14ac:dyDescent="0.3">
      <c r="A37" s="5" t="s">
        <v>10</v>
      </c>
      <c r="B37" s="8"/>
      <c r="C37" s="8">
        <f>[8]Program!$E$107</f>
        <v>2868000</v>
      </c>
      <c r="D37" s="4"/>
    </row>
    <row r="38" spans="1:4" ht="15.75" thickBot="1" x14ac:dyDescent="0.3">
      <c r="A38" s="5" t="s">
        <v>11</v>
      </c>
      <c r="B38" s="8"/>
      <c r="C38" s="8">
        <f>[8]Program!$E$117</f>
        <v>5141000</v>
      </c>
      <c r="D38" s="4"/>
    </row>
    <row r="39" spans="1:4" ht="15.75" thickBot="1" x14ac:dyDescent="0.3">
      <c r="A39" s="5" t="s">
        <v>156</v>
      </c>
      <c r="B39" s="8"/>
      <c r="C39" s="8">
        <f>[8]Program!$E$128+[8]Program!$E$136</f>
        <v>1315000</v>
      </c>
      <c r="D39" s="13">
        <f>SUM(C32:C39)</f>
        <v>21276000</v>
      </c>
    </row>
    <row r="40" spans="1:4" s="15" customFormat="1" ht="15.75" thickBot="1" x14ac:dyDescent="0.3">
      <c r="A40" s="9" t="s">
        <v>99</v>
      </c>
      <c r="B40" s="14">
        <f>SUM(B3:B39)</f>
        <v>276000</v>
      </c>
      <c r="C40" s="14">
        <f>SUM(C3:C39)</f>
        <v>167973000</v>
      </c>
      <c r="D40" s="21">
        <f>SUM(D3:D39)</f>
        <v>168249000</v>
      </c>
    </row>
  </sheetData>
  <mergeCells count="3">
    <mergeCell ref="A1:A2"/>
    <mergeCell ref="C1:C2"/>
    <mergeCell ref="D1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0" sqref="C10"/>
    </sheetView>
  </sheetViews>
  <sheetFormatPr defaultRowHeight="15" x14ac:dyDescent="0.25"/>
  <cols>
    <col min="1" max="1" width="70.7109375" customWidth="1"/>
    <col min="2" max="4" width="20.7109375" customWidth="1"/>
  </cols>
  <sheetData>
    <row r="1" spans="1:4" ht="16.5" thickBot="1" x14ac:dyDescent="0.3">
      <c r="A1" s="1" t="s">
        <v>0</v>
      </c>
      <c r="B1" s="2" t="s">
        <v>1</v>
      </c>
      <c r="C1" s="2" t="s">
        <v>2</v>
      </c>
      <c r="D1" s="2" t="s">
        <v>93</v>
      </c>
    </row>
    <row r="2" spans="1:4" ht="15.75" thickBot="1" x14ac:dyDescent="0.3">
      <c r="A2" s="3" t="s">
        <v>100</v>
      </c>
      <c r="B2" s="8"/>
      <c r="C2" s="8"/>
      <c r="D2" s="8"/>
    </row>
    <row r="3" spans="1:4" ht="15.75" thickBot="1" x14ac:dyDescent="0.3">
      <c r="A3" s="5" t="s">
        <v>5</v>
      </c>
      <c r="B3" s="8"/>
      <c r="C3" s="8">
        <f>[9]Program!$E$53</f>
        <v>6602000</v>
      </c>
      <c r="D3" s="8"/>
    </row>
    <row r="4" spans="1:4" ht="15.75" thickBot="1" x14ac:dyDescent="0.3">
      <c r="A4" s="5" t="s">
        <v>6</v>
      </c>
      <c r="B4" s="8"/>
      <c r="C4" s="8">
        <f>[9]Program!$E$65</f>
        <v>3947000</v>
      </c>
      <c r="D4" s="8"/>
    </row>
    <row r="5" spans="1:4" ht="15.75" thickBot="1" x14ac:dyDescent="0.3">
      <c r="A5" s="5" t="s">
        <v>7</v>
      </c>
      <c r="B5" s="8"/>
      <c r="C5" s="8">
        <f>[9]Program!$E$84</f>
        <v>8444000</v>
      </c>
      <c r="D5" s="8"/>
    </row>
    <row r="6" spans="1:4" ht="15.75" thickBot="1" x14ac:dyDescent="0.3">
      <c r="A6" s="5" t="s">
        <v>8</v>
      </c>
      <c r="B6" s="8"/>
      <c r="C6" s="8">
        <f>[9]Program!$E$98</f>
        <v>0</v>
      </c>
      <c r="D6" s="8"/>
    </row>
    <row r="7" spans="1:4" ht="15.75" thickBot="1" x14ac:dyDescent="0.3">
      <c r="A7" s="5" t="s">
        <v>9</v>
      </c>
      <c r="B7" s="8"/>
      <c r="C7" s="8">
        <f>[9]Program!$E$103</f>
        <v>950000</v>
      </c>
      <c r="D7" s="8"/>
    </row>
    <row r="8" spans="1:4" ht="15.75" thickBot="1" x14ac:dyDescent="0.3">
      <c r="A8" s="5" t="s">
        <v>10</v>
      </c>
      <c r="B8" s="8"/>
      <c r="C8" s="8">
        <f>[9]Program!$E$107</f>
        <v>4786000</v>
      </c>
      <c r="D8" s="8"/>
    </row>
    <row r="9" spans="1:4" ht="15.75" thickBot="1" x14ac:dyDescent="0.3">
      <c r="A9" s="5" t="s">
        <v>11</v>
      </c>
      <c r="B9" s="8"/>
      <c r="C9" s="8">
        <f>[9]Program!$E$117</f>
        <v>8580000</v>
      </c>
      <c r="D9" s="8"/>
    </row>
    <row r="10" spans="1:4" ht="15.75" thickBot="1" x14ac:dyDescent="0.3">
      <c r="A10" s="5" t="s">
        <v>156</v>
      </c>
      <c r="B10" s="8"/>
      <c r="C10" s="8">
        <f>[9]Program!$E$128+[9]Program!$E$136</f>
        <v>2193000</v>
      </c>
      <c r="D10" s="8">
        <f>SUM(C3:C10)</f>
        <v>35502000</v>
      </c>
    </row>
    <row r="11" spans="1:4" s="15" customFormat="1" ht="15.75" thickBot="1" x14ac:dyDescent="0.3">
      <c r="A11" s="9" t="s">
        <v>101</v>
      </c>
      <c r="B11" s="14">
        <f>SUM(B2:B10)</f>
        <v>0</v>
      </c>
      <c r="C11" s="14">
        <f>SUM(C2:C10)</f>
        <v>35502000</v>
      </c>
      <c r="D11" s="14">
        <f>SUM(D2:D10)</f>
        <v>35502000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17" sqref="C17"/>
    </sheetView>
  </sheetViews>
  <sheetFormatPr defaultRowHeight="15" x14ac:dyDescent="0.25"/>
  <cols>
    <col min="1" max="1" width="70.7109375" customWidth="1"/>
    <col min="2" max="4" width="20.7109375" customWidth="1"/>
  </cols>
  <sheetData>
    <row r="1" spans="1:4" ht="15.75" x14ac:dyDescent="0.25">
      <c r="A1" s="43" t="s">
        <v>0</v>
      </c>
      <c r="B1" s="11" t="s">
        <v>92</v>
      </c>
      <c r="C1" s="43" t="s">
        <v>2</v>
      </c>
      <c r="D1" s="43" t="s">
        <v>3</v>
      </c>
    </row>
    <row r="2" spans="1:4" ht="16.5" thickBot="1" x14ac:dyDescent="0.3">
      <c r="A2" s="44"/>
      <c r="B2" s="12" t="s">
        <v>93</v>
      </c>
      <c r="C2" s="44"/>
      <c r="D2" s="44"/>
    </row>
    <row r="3" spans="1:4" ht="15.75" thickBot="1" x14ac:dyDescent="0.3">
      <c r="A3" s="3" t="s">
        <v>102</v>
      </c>
      <c r="B3" s="8"/>
      <c r="C3" s="8"/>
      <c r="D3" s="8"/>
    </row>
    <row r="4" spans="1:4" ht="15.75" thickBot="1" x14ac:dyDescent="0.3">
      <c r="A4" s="5" t="s">
        <v>5</v>
      </c>
      <c r="B4" s="8"/>
      <c r="C4" s="8">
        <f>[10]Program!$E$53</f>
        <v>31195000</v>
      </c>
      <c r="D4" s="8"/>
    </row>
    <row r="5" spans="1:4" ht="15.75" thickBot="1" x14ac:dyDescent="0.3">
      <c r="A5" s="5" t="s">
        <v>6</v>
      </c>
      <c r="B5" s="8"/>
      <c r="C5" s="8">
        <f>[10]Program!$E$65</f>
        <v>18646000</v>
      </c>
      <c r="D5" s="8"/>
    </row>
    <row r="6" spans="1:4" ht="15.75" thickBot="1" x14ac:dyDescent="0.3">
      <c r="A6" s="5" t="s">
        <v>7</v>
      </c>
      <c r="B6" s="8"/>
      <c r="C6" s="8">
        <f>[10]Program!$E$84</f>
        <v>21621000</v>
      </c>
      <c r="D6" s="8"/>
    </row>
    <row r="7" spans="1:4" ht="15.75" thickBot="1" x14ac:dyDescent="0.3">
      <c r="A7" s="5" t="s">
        <v>8</v>
      </c>
      <c r="B7" s="8"/>
      <c r="C7" s="8">
        <f>[10]Program!$E$98</f>
        <v>0</v>
      </c>
      <c r="D7" s="8"/>
    </row>
    <row r="8" spans="1:4" ht="15.75" thickBot="1" x14ac:dyDescent="0.3">
      <c r="A8" s="5" t="s">
        <v>9</v>
      </c>
      <c r="B8" s="8"/>
      <c r="C8" s="8">
        <f>[10]Program!$E$103</f>
        <v>3573000</v>
      </c>
      <c r="D8" s="8"/>
    </row>
    <row r="9" spans="1:4" ht="15.75" thickBot="1" x14ac:dyDescent="0.3">
      <c r="A9" s="5" t="s">
        <v>10</v>
      </c>
      <c r="B9" s="8"/>
      <c r="C9" s="8">
        <f>[10]Program!$E$107</f>
        <v>18008000</v>
      </c>
      <c r="D9" s="8"/>
    </row>
    <row r="10" spans="1:4" ht="15.75" thickBot="1" x14ac:dyDescent="0.3">
      <c r="A10" s="5" t="s">
        <v>11</v>
      </c>
      <c r="B10" s="8"/>
      <c r="C10" s="8">
        <f>[10]Program!$E$117</f>
        <v>32285000</v>
      </c>
      <c r="D10" s="8"/>
    </row>
    <row r="11" spans="1:4" ht="15.75" thickBot="1" x14ac:dyDescent="0.3">
      <c r="A11" s="5" t="s">
        <v>156</v>
      </c>
      <c r="B11" s="8"/>
      <c r="C11" s="8">
        <f>[10]Program!$E$128+[10]Program!$E$136</f>
        <v>8254000</v>
      </c>
      <c r="D11" s="8">
        <f>SUM(C4:C11)</f>
        <v>133582000</v>
      </c>
    </row>
    <row r="12" spans="1:4" ht="15.75" thickBot="1" x14ac:dyDescent="0.3">
      <c r="A12" s="3" t="s">
        <v>103</v>
      </c>
      <c r="B12" s="8">
        <f>'Short-term or Intermediate Alt.'!E24</f>
        <v>321000</v>
      </c>
      <c r="C12" s="8"/>
      <c r="D12" s="8">
        <f>B12</f>
        <v>321000</v>
      </c>
    </row>
    <row r="13" spans="1:4" ht="15.75" thickBot="1" x14ac:dyDescent="0.3">
      <c r="A13" s="3" t="s">
        <v>104</v>
      </c>
      <c r="B13" s="8"/>
      <c r="C13" s="8"/>
      <c r="D13" s="8"/>
    </row>
    <row r="14" spans="1:4" ht="15.75" thickBot="1" x14ac:dyDescent="0.3">
      <c r="A14" s="5" t="s">
        <v>5</v>
      </c>
      <c r="B14" s="8"/>
      <c r="C14" s="8">
        <f>[11]Program!$E$53</f>
        <v>11503000</v>
      </c>
      <c r="D14" s="8"/>
    </row>
    <row r="15" spans="1:4" ht="15.75" thickBot="1" x14ac:dyDescent="0.3">
      <c r="A15" s="5" t="s">
        <v>6</v>
      </c>
      <c r="B15" s="8"/>
      <c r="C15" s="8">
        <f>[11]Program!$E$65</f>
        <v>6875000</v>
      </c>
      <c r="D15" s="8"/>
    </row>
    <row r="16" spans="1:4" ht="15.75" thickBot="1" x14ac:dyDescent="0.3">
      <c r="A16" s="5" t="s">
        <v>7</v>
      </c>
      <c r="B16" s="8"/>
      <c r="C16" s="8">
        <f>[11]Program!$E$84</f>
        <v>4635000</v>
      </c>
      <c r="D16" s="8"/>
    </row>
    <row r="17" spans="1:4" ht="15.75" thickBot="1" x14ac:dyDescent="0.3">
      <c r="A17" s="5" t="s">
        <v>8</v>
      </c>
      <c r="B17" s="8"/>
      <c r="C17" s="8">
        <f>[11]Program!$E$98</f>
        <v>5000000</v>
      </c>
      <c r="D17" s="8"/>
    </row>
    <row r="18" spans="1:4" ht="15.75" thickBot="1" x14ac:dyDescent="0.3">
      <c r="A18" s="5" t="s">
        <v>9</v>
      </c>
      <c r="B18" s="8"/>
      <c r="C18" s="8">
        <f>[11]Program!$E$103</f>
        <v>1401000</v>
      </c>
      <c r="D18" s="8"/>
    </row>
    <row r="19" spans="1:4" ht="15.75" thickBot="1" x14ac:dyDescent="0.3">
      <c r="A19" s="5" t="s">
        <v>10</v>
      </c>
      <c r="B19" s="8"/>
      <c r="C19" s="8">
        <f>[11]Program!$E$107</f>
        <v>7059000</v>
      </c>
      <c r="D19" s="8"/>
    </row>
    <row r="20" spans="1:4" ht="15.75" thickBot="1" x14ac:dyDescent="0.3">
      <c r="A20" s="5" t="s">
        <v>11</v>
      </c>
      <c r="B20" s="8"/>
      <c r="C20" s="8">
        <f>[11]Program!$E$117</f>
        <v>12657000</v>
      </c>
      <c r="D20" s="8"/>
    </row>
    <row r="21" spans="1:4" ht="15.75" thickBot="1" x14ac:dyDescent="0.3">
      <c r="A21" s="5" t="s">
        <v>156</v>
      </c>
      <c r="B21" s="8"/>
      <c r="C21" s="8">
        <f>[11]Program!$E$128+[11]Program!$E$136</f>
        <v>3235000</v>
      </c>
      <c r="D21" s="8">
        <f>SUM(C14:C21)</f>
        <v>52365000</v>
      </c>
    </row>
    <row r="22" spans="1:4" ht="15.75" thickBot="1" x14ac:dyDescent="0.3">
      <c r="A22" s="3" t="s">
        <v>56</v>
      </c>
      <c r="B22" s="8"/>
      <c r="C22" s="8">
        <v>10000000</v>
      </c>
      <c r="D22" s="8">
        <f>C22</f>
        <v>10000000</v>
      </c>
    </row>
    <row r="23" spans="1:4" s="15" customFormat="1" ht="15.75" thickBot="1" x14ac:dyDescent="0.3">
      <c r="A23" s="9" t="s">
        <v>105</v>
      </c>
      <c r="B23" s="14">
        <f>SUM(B3:B22)</f>
        <v>321000</v>
      </c>
      <c r="C23" s="14">
        <f t="shared" ref="C23:D23" si="0">SUM(C3:C22)</f>
        <v>195947000</v>
      </c>
      <c r="D23" s="14">
        <f t="shared" si="0"/>
        <v>196268000</v>
      </c>
    </row>
  </sheetData>
  <mergeCells count="3">
    <mergeCell ref="A1:A2"/>
    <mergeCell ref="C1:C2"/>
    <mergeCell ref="D1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70" zoomScaleNormal="70" workbookViewId="0">
      <selection activeCell="C23" sqref="C23:D31"/>
    </sheetView>
  </sheetViews>
  <sheetFormatPr defaultRowHeight="15" x14ac:dyDescent="0.25"/>
  <cols>
    <col min="1" max="1" width="70.7109375" customWidth="1"/>
    <col min="2" max="4" width="20.7109375" customWidth="1"/>
  </cols>
  <sheetData>
    <row r="1" spans="1:4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30.75" thickBot="1" x14ac:dyDescent="0.3">
      <c r="A2" s="3" t="s">
        <v>106</v>
      </c>
      <c r="B2" s="8"/>
      <c r="C2" s="8"/>
      <c r="D2" s="8"/>
    </row>
    <row r="3" spans="1:4" ht="15.75" thickBot="1" x14ac:dyDescent="0.3">
      <c r="A3" s="5" t="s">
        <v>5</v>
      </c>
      <c r="B3" s="8"/>
      <c r="C3" s="8">
        <f>[12]Program!$E$53</f>
        <v>28425000</v>
      </c>
      <c r="D3" s="8"/>
    </row>
    <row r="4" spans="1:4" ht="15.75" thickBot="1" x14ac:dyDescent="0.3">
      <c r="A4" s="5" t="s">
        <v>6</v>
      </c>
      <c r="B4" s="8"/>
      <c r="C4" s="8">
        <f>[12]Program!$E$65</f>
        <v>16989000</v>
      </c>
      <c r="D4" s="8"/>
    </row>
    <row r="5" spans="1:4" ht="15.75" thickBot="1" x14ac:dyDescent="0.3">
      <c r="A5" s="5" t="s">
        <v>7</v>
      </c>
      <c r="B5" s="8"/>
      <c r="C5" s="8">
        <f>[12]Program!$E$84</f>
        <v>33727000</v>
      </c>
      <c r="D5" s="8"/>
    </row>
    <row r="6" spans="1:4" ht="15.75" thickBot="1" x14ac:dyDescent="0.3">
      <c r="A6" s="5" t="s">
        <v>8</v>
      </c>
      <c r="B6" s="8"/>
      <c r="C6" s="8">
        <f>[12]Program!$E$98</f>
        <v>0</v>
      </c>
      <c r="D6" s="8"/>
    </row>
    <row r="7" spans="1:4" ht="15.75" thickBot="1" x14ac:dyDescent="0.3">
      <c r="A7" s="5" t="s">
        <v>9</v>
      </c>
      <c r="B7" s="8"/>
      <c r="C7" s="8">
        <f>[12]Program!$E$103</f>
        <v>3957000</v>
      </c>
      <c r="D7" s="8"/>
    </row>
    <row r="8" spans="1:4" ht="15.75" thickBot="1" x14ac:dyDescent="0.3">
      <c r="A8" s="5" t="s">
        <v>10</v>
      </c>
      <c r="B8" s="8"/>
      <c r="C8" s="8">
        <f>[12]Program!$E$107</f>
        <v>19944000</v>
      </c>
      <c r="D8" s="8"/>
    </row>
    <row r="9" spans="1:4" ht="15.75" thickBot="1" x14ac:dyDescent="0.3">
      <c r="A9" s="5" t="s">
        <v>11</v>
      </c>
      <c r="B9" s="8"/>
      <c r="C9" s="8">
        <f>[12]Program!$E$117</f>
        <v>35755000</v>
      </c>
      <c r="D9" s="8"/>
    </row>
    <row r="10" spans="1:4" ht="15.75" thickBot="1" x14ac:dyDescent="0.3">
      <c r="A10" s="5" t="s">
        <v>156</v>
      </c>
      <c r="B10" s="8"/>
      <c r="C10" s="8">
        <f>[12]Program!$E$128+[12]Program!$E$136</f>
        <v>9141000</v>
      </c>
      <c r="D10" s="8">
        <f>SUM(C3:C10)</f>
        <v>147938000</v>
      </c>
    </row>
    <row r="11" spans="1:4" ht="15.75" thickBot="1" x14ac:dyDescent="0.3">
      <c r="A11" s="3" t="s">
        <v>107</v>
      </c>
      <c r="B11" s="8">
        <f>'Short-term or Intermediate Alt.'!E30</f>
        <v>702000</v>
      </c>
      <c r="C11" s="8"/>
      <c r="D11" s="8">
        <f>B11</f>
        <v>702000</v>
      </c>
    </row>
    <row r="12" spans="1:4" ht="15.75" thickBot="1" x14ac:dyDescent="0.3">
      <c r="A12" s="3" t="s">
        <v>108</v>
      </c>
      <c r="B12" s="8"/>
      <c r="C12" s="8"/>
      <c r="D12" s="8"/>
    </row>
    <row r="13" spans="1:4" ht="15.75" thickBot="1" x14ac:dyDescent="0.3">
      <c r="A13" s="5" t="s">
        <v>5</v>
      </c>
      <c r="B13" s="8"/>
      <c r="C13" s="8">
        <f>[13]Program!$E$53</f>
        <v>6698000</v>
      </c>
      <c r="D13" s="8"/>
    </row>
    <row r="14" spans="1:4" ht="15.75" thickBot="1" x14ac:dyDescent="0.3">
      <c r="A14" s="5" t="s">
        <v>6</v>
      </c>
      <c r="B14" s="8"/>
      <c r="C14" s="8">
        <f>[13]Program!$E$65</f>
        <v>4004000</v>
      </c>
      <c r="D14" s="8"/>
    </row>
    <row r="15" spans="1:4" ht="15.75" thickBot="1" x14ac:dyDescent="0.3">
      <c r="A15" s="5" t="s">
        <v>7</v>
      </c>
      <c r="B15" s="8"/>
      <c r="C15" s="8">
        <f>[13]Program!$E$84</f>
        <v>5028000</v>
      </c>
      <c r="D15" s="8"/>
    </row>
    <row r="16" spans="1:4" ht="15.75" thickBot="1" x14ac:dyDescent="0.3">
      <c r="A16" s="5" t="s">
        <v>8</v>
      </c>
      <c r="B16" s="8"/>
      <c r="C16" s="8">
        <f>[13]Program!$E$98</f>
        <v>0</v>
      </c>
      <c r="D16" s="8"/>
    </row>
    <row r="17" spans="1:4" ht="15.75" thickBot="1" x14ac:dyDescent="0.3">
      <c r="A17" s="5" t="s">
        <v>9</v>
      </c>
      <c r="B17" s="8"/>
      <c r="C17" s="8">
        <f>[13]Program!$E$103</f>
        <v>787000</v>
      </c>
      <c r="D17" s="8"/>
    </row>
    <row r="18" spans="1:4" ht="15.75" thickBot="1" x14ac:dyDescent="0.3">
      <c r="A18" s="5" t="s">
        <v>10</v>
      </c>
      <c r="B18" s="8"/>
      <c r="C18" s="8">
        <f>[13]Program!$E$107</f>
        <v>3964000</v>
      </c>
      <c r="D18" s="8"/>
    </row>
    <row r="19" spans="1:4" ht="15.75" thickBot="1" x14ac:dyDescent="0.3">
      <c r="A19" s="5" t="s">
        <v>11</v>
      </c>
      <c r="B19" s="8"/>
      <c r="C19" s="8">
        <f>[13]Program!$E$117</f>
        <v>7107000</v>
      </c>
      <c r="D19" s="8"/>
    </row>
    <row r="20" spans="1:4" ht="15.75" thickBot="1" x14ac:dyDescent="0.3">
      <c r="A20" s="5" t="s">
        <v>156</v>
      </c>
      <c r="B20" s="8"/>
      <c r="C20" s="8">
        <f>[13]Program!$E$128+[13]Program!$E$136</f>
        <v>1817000</v>
      </c>
      <c r="D20" s="8">
        <f>SUM(C13:C20)</f>
        <v>29405000</v>
      </c>
    </row>
    <row r="21" spans="1:4" ht="15.75" thickBot="1" x14ac:dyDescent="0.3">
      <c r="A21" s="3" t="s">
        <v>109</v>
      </c>
      <c r="B21" s="8">
        <f>'Short-term or Intermediate Alt.'!E33</f>
        <v>603000</v>
      </c>
      <c r="C21" s="8"/>
      <c r="D21" s="8">
        <f>B21</f>
        <v>603000</v>
      </c>
    </row>
    <row r="22" spans="1:4" ht="15.75" thickBot="1" x14ac:dyDescent="0.3">
      <c r="A22" s="3" t="s">
        <v>110</v>
      </c>
      <c r="B22" s="8"/>
      <c r="C22" s="8"/>
      <c r="D22" s="8"/>
    </row>
    <row r="23" spans="1:4" ht="15.75" thickBot="1" x14ac:dyDescent="0.3">
      <c r="A23" s="5" t="s">
        <v>5</v>
      </c>
      <c r="B23" s="8"/>
      <c r="C23" s="8">
        <f>[14]Program!$E$53</f>
        <v>8294000</v>
      </c>
      <c r="D23" s="8"/>
    </row>
    <row r="24" spans="1:4" ht="15.75" thickBot="1" x14ac:dyDescent="0.3">
      <c r="A24" s="5" t="s">
        <v>6</v>
      </c>
      <c r="B24" s="8"/>
      <c r="C24" s="8">
        <f>[14]Program!$E$65</f>
        <v>4957000</v>
      </c>
      <c r="D24" s="8"/>
    </row>
    <row r="25" spans="1:4" ht="15.75" thickBot="1" x14ac:dyDescent="0.3">
      <c r="A25" s="5" t="s">
        <v>7</v>
      </c>
      <c r="B25" s="8"/>
      <c r="C25" s="8">
        <f>[14]Program!$E$84</f>
        <v>1878000</v>
      </c>
      <c r="D25" s="8"/>
    </row>
    <row r="26" spans="1:4" ht="15.75" thickBot="1" x14ac:dyDescent="0.3">
      <c r="A26" s="5" t="s">
        <v>8</v>
      </c>
      <c r="B26" s="8"/>
      <c r="C26" s="8">
        <f>[14]Program!$E$98</f>
        <v>0</v>
      </c>
      <c r="D26" s="8"/>
    </row>
    <row r="27" spans="1:4" ht="15.75" thickBot="1" x14ac:dyDescent="0.3">
      <c r="A27" s="5" t="s">
        <v>9</v>
      </c>
      <c r="B27" s="8"/>
      <c r="C27" s="8">
        <f>[14]Program!$E$103</f>
        <v>756000</v>
      </c>
      <c r="D27" s="8"/>
    </row>
    <row r="28" spans="1:4" ht="15.75" thickBot="1" x14ac:dyDescent="0.3">
      <c r="A28" s="5" t="s">
        <v>10</v>
      </c>
      <c r="B28" s="8"/>
      <c r="C28" s="8">
        <f>[14]Program!$E$107</f>
        <v>3812000</v>
      </c>
      <c r="D28" s="8"/>
    </row>
    <row r="29" spans="1:4" ht="15.75" thickBot="1" x14ac:dyDescent="0.3">
      <c r="A29" s="5" t="s">
        <v>11</v>
      </c>
      <c r="B29" s="8"/>
      <c r="C29" s="8">
        <f>[14]Program!$E$117</f>
        <v>6834000</v>
      </c>
      <c r="D29" s="8"/>
    </row>
    <row r="30" spans="1:4" ht="15.75" thickBot="1" x14ac:dyDescent="0.3">
      <c r="A30" s="5" t="s">
        <v>156</v>
      </c>
      <c r="B30" s="8"/>
      <c r="C30" s="8">
        <f>[14]Program!$E$128+[14]Program!$E$136</f>
        <v>1748000</v>
      </c>
      <c r="D30" s="8">
        <f>SUM(C23:C30)</f>
        <v>28279000</v>
      </c>
    </row>
    <row r="31" spans="1:4" s="15" customFormat="1" ht="15.75" thickBot="1" x14ac:dyDescent="0.3">
      <c r="A31" s="9" t="s">
        <v>111</v>
      </c>
      <c r="B31" s="14">
        <f>SUM(B2:B30)</f>
        <v>1305000</v>
      </c>
      <c r="C31" s="14">
        <f t="shared" ref="C31:D31" si="0">SUM(C2:C30)</f>
        <v>205622000</v>
      </c>
      <c r="D31" s="14">
        <f t="shared" si="0"/>
        <v>206927000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0" sqref="C10"/>
    </sheetView>
  </sheetViews>
  <sheetFormatPr defaultRowHeight="15" x14ac:dyDescent="0.25"/>
  <cols>
    <col min="1" max="1" width="70.7109375" customWidth="1"/>
    <col min="2" max="4" width="20.7109375" customWidth="1"/>
  </cols>
  <sheetData>
    <row r="1" spans="1:4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15.75" thickBot="1" x14ac:dyDescent="0.3">
      <c r="A2" s="3" t="s">
        <v>112</v>
      </c>
      <c r="B2" s="8"/>
      <c r="C2" s="8"/>
      <c r="D2" s="8"/>
    </row>
    <row r="3" spans="1:4" ht="15.75" thickBot="1" x14ac:dyDescent="0.3">
      <c r="A3" s="5" t="s">
        <v>5</v>
      </c>
      <c r="B3" s="8"/>
      <c r="C3" s="8">
        <f>[15]Program!$E$53</f>
        <v>16130000</v>
      </c>
      <c r="D3" s="8"/>
    </row>
    <row r="4" spans="1:4" ht="15.75" thickBot="1" x14ac:dyDescent="0.3">
      <c r="A4" s="5" t="s">
        <v>6</v>
      </c>
      <c r="B4" s="8"/>
      <c r="C4" s="8">
        <f>[15]Program!$E$65</f>
        <v>9642000</v>
      </c>
      <c r="D4" s="8"/>
    </row>
    <row r="5" spans="1:4" ht="15.75" thickBot="1" x14ac:dyDescent="0.3">
      <c r="A5" s="5" t="s">
        <v>7</v>
      </c>
      <c r="B5" s="8"/>
      <c r="C5" s="8">
        <f>[15]Program!$E$84</f>
        <v>6014000</v>
      </c>
      <c r="D5" s="8"/>
    </row>
    <row r="6" spans="1:4" ht="15.75" thickBot="1" x14ac:dyDescent="0.3">
      <c r="A6" s="5" t="s">
        <v>8</v>
      </c>
      <c r="B6" s="8"/>
      <c r="C6" s="8">
        <f>[15]Program!$E$98</f>
        <v>0</v>
      </c>
      <c r="D6" s="8"/>
    </row>
    <row r="7" spans="1:4" ht="15.75" thickBot="1" x14ac:dyDescent="0.3">
      <c r="A7" s="5" t="s">
        <v>9</v>
      </c>
      <c r="B7" s="8"/>
      <c r="C7" s="8">
        <f>[15]Program!$E$103</f>
        <v>1589000</v>
      </c>
      <c r="D7" s="8"/>
    </row>
    <row r="8" spans="1:4" ht="15.75" thickBot="1" x14ac:dyDescent="0.3">
      <c r="A8" s="5" t="s">
        <v>10</v>
      </c>
      <c r="B8" s="8"/>
      <c r="C8" s="8">
        <f>[15]Program!$E$107</f>
        <v>8010000</v>
      </c>
      <c r="D8" s="8"/>
    </row>
    <row r="9" spans="1:4" ht="15.75" thickBot="1" x14ac:dyDescent="0.3">
      <c r="A9" s="5" t="s">
        <v>11</v>
      </c>
      <c r="B9" s="8"/>
      <c r="C9" s="8">
        <f>[15]Program!$E$117</f>
        <v>14361000</v>
      </c>
      <c r="D9" s="8"/>
    </row>
    <row r="10" spans="1:4" ht="15.75" thickBot="1" x14ac:dyDescent="0.3">
      <c r="A10" s="5" t="s">
        <v>156</v>
      </c>
      <c r="B10" s="8"/>
      <c r="C10" s="8">
        <f>[15]Program!$E$128+[15]Program!$E$136</f>
        <v>3671000</v>
      </c>
      <c r="D10" s="8">
        <f>SUM(C3:C10)</f>
        <v>59417000</v>
      </c>
    </row>
    <row r="11" spans="1:4" ht="15.75" thickBot="1" x14ac:dyDescent="0.3">
      <c r="A11" s="3" t="s">
        <v>113</v>
      </c>
      <c r="B11" s="8">
        <f>'Short-term or Intermediate Alt.'!E38</f>
        <v>699000</v>
      </c>
      <c r="C11" s="8"/>
      <c r="D11" s="8">
        <f>B11</f>
        <v>699000</v>
      </c>
    </row>
    <row r="12" spans="1:4" ht="15.75" thickBot="1" x14ac:dyDescent="0.3">
      <c r="A12" s="3" t="s">
        <v>114</v>
      </c>
      <c r="B12" s="8"/>
      <c r="C12" s="8"/>
      <c r="D12" s="8"/>
    </row>
    <row r="13" spans="1:4" ht="15.75" thickBot="1" x14ac:dyDescent="0.3">
      <c r="A13" s="5" t="s">
        <v>5</v>
      </c>
      <c r="B13" s="8"/>
      <c r="C13" s="8">
        <f>[16]Program!$E$53</f>
        <v>3253000</v>
      </c>
      <c r="D13" s="8"/>
    </row>
    <row r="14" spans="1:4" ht="15.75" thickBot="1" x14ac:dyDescent="0.3">
      <c r="A14" s="5" t="s">
        <v>6</v>
      </c>
      <c r="B14" s="8"/>
      <c r="C14" s="8">
        <f>[16]Program!$E$65</f>
        <v>1946000</v>
      </c>
      <c r="D14" s="8"/>
    </row>
    <row r="15" spans="1:4" ht="15.75" thickBot="1" x14ac:dyDescent="0.3">
      <c r="A15" s="5" t="s">
        <v>7</v>
      </c>
      <c r="B15" s="8"/>
      <c r="C15" s="8">
        <f>[16]Program!$E$84</f>
        <v>1818000</v>
      </c>
      <c r="D15" s="8"/>
    </row>
    <row r="16" spans="1:4" ht="15.75" thickBot="1" x14ac:dyDescent="0.3">
      <c r="A16" s="5" t="s">
        <v>8</v>
      </c>
      <c r="B16" s="8"/>
      <c r="C16" s="8">
        <f>[16]Program!$E$98</f>
        <v>1000000</v>
      </c>
      <c r="D16" s="8"/>
    </row>
    <row r="17" spans="1:4" ht="15.75" thickBot="1" x14ac:dyDescent="0.3">
      <c r="A17" s="5" t="s">
        <v>9</v>
      </c>
      <c r="B17" s="8"/>
      <c r="C17" s="8">
        <f>[16]Program!$E$103</f>
        <v>401000</v>
      </c>
      <c r="D17" s="8"/>
    </row>
    <row r="18" spans="1:4" ht="15.75" thickBot="1" x14ac:dyDescent="0.3">
      <c r="A18" s="5" t="s">
        <v>10</v>
      </c>
      <c r="B18" s="8"/>
      <c r="C18" s="8">
        <f>[16]Program!$E$107</f>
        <v>2020000</v>
      </c>
      <c r="D18" s="8"/>
    </row>
    <row r="19" spans="1:4" ht="15.75" thickBot="1" x14ac:dyDescent="0.3">
      <c r="A19" s="5" t="s">
        <v>11</v>
      </c>
      <c r="B19" s="8"/>
      <c r="C19" s="8">
        <f>[16]Program!$E$117</f>
        <v>3623000</v>
      </c>
      <c r="D19" s="8"/>
    </row>
    <row r="20" spans="1:4" ht="15.75" thickBot="1" x14ac:dyDescent="0.3">
      <c r="A20" s="5" t="s">
        <v>156</v>
      </c>
      <c r="B20" s="8"/>
      <c r="C20" s="8">
        <f>[16]Program!$E$128+[16]Program!$E$136</f>
        <v>926000</v>
      </c>
      <c r="D20" s="8">
        <f>SUM(C12:C20)</f>
        <v>14987000</v>
      </c>
    </row>
    <row r="21" spans="1:4" ht="15.75" thickBot="1" x14ac:dyDescent="0.3">
      <c r="A21" s="3" t="s">
        <v>115</v>
      </c>
      <c r="B21" s="8"/>
      <c r="C21" s="8">
        <v>10000000</v>
      </c>
      <c r="D21" s="8">
        <f>C21</f>
        <v>10000000</v>
      </c>
    </row>
    <row r="22" spans="1:4" s="15" customFormat="1" ht="15.75" thickBot="1" x14ac:dyDescent="0.3">
      <c r="A22" s="9" t="s">
        <v>116</v>
      </c>
      <c r="B22" s="14">
        <f>SUM(B2:B21)</f>
        <v>699000</v>
      </c>
      <c r="C22" s="14">
        <f t="shared" ref="C22:D22" si="0">SUM(C2:C21)</f>
        <v>84404000</v>
      </c>
      <c r="D22" s="14">
        <f t="shared" si="0"/>
        <v>85103000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3" workbookViewId="0">
      <selection activeCell="C3" sqref="C3:C10"/>
    </sheetView>
  </sheetViews>
  <sheetFormatPr defaultRowHeight="15" x14ac:dyDescent="0.25"/>
  <cols>
    <col min="1" max="1" width="70.7109375" customWidth="1"/>
    <col min="2" max="4" width="20.7109375" customWidth="1"/>
  </cols>
  <sheetData>
    <row r="1" spans="1:4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15.75" thickBot="1" x14ac:dyDescent="0.3">
      <c r="A2" s="3" t="s">
        <v>117</v>
      </c>
      <c r="B2" s="8"/>
      <c r="C2" s="8"/>
      <c r="D2" s="8"/>
    </row>
    <row r="3" spans="1:4" ht="15.75" thickBot="1" x14ac:dyDescent="0.3">
      <c r="A3" s="5" t="s">
        <v>5</v>
      </c>
      <c r="B3" s="8"/>
      <c r="C3" s="8">
        <f>[17]Program!$E$53</f>
        <v>52077000</v>
      </c>
      <c r="D3" s="8"/>
    </row>
    <row r="4" spans="1:4" ht="15.75" thickBot="1" x14ac:dyDescent="0.3">
      <c r="A4" s="5" t="s">
        <v>6</v>
      </c>
      <c r="B4" s="8"/>
      <c r="C4" s="8">
        <f>[17]Program!$E$65</f>
        <v>31127000</v>
      </c>
      <c r="D4" s="8"/>
    </row>
    <row r="5" spans="1:4" ht="15.75" thickBot="1" x14ac:dyDescent="0.3">
      <c r="A5" s="5" t="s">
        <v>7</v>
      </c>
      <c r="B5" s="8"/>
      <c r="C5" s="8">
        <f>[17]Program!$E$84</f>
        <v>14543000</v>
      </c>
      <c r="D5" s="8"/>
    </row>
    <row r="6" spans="1:4" ht="15.75" thickBot="1" x14ac:dyDescent="0.3">
      <c r="A6" s="5" t="s">
        <v>8</v>
      </c>
      <c r="B6" s="8"/>
      <c r="C6" s="8">
        <f>[17]Program!$E$98</f>
        <v>0</v>
      </c>
      <c r="D6" s="8"/>
    </row>
    <row r="7" spans="1:4" ht="15.75" thickBot="1" x14ac:dyDescent="0.3">
      <c r="A7" s="5" t="s">
        <v>9</v>
      </c>
      <c r="B7" s="8"/>
      <c r="C7" s="8">
        <f>[17]Program!$E$103</f>
        <v>4887000</v>
      </c>
      <c r="D7" s="8"/>
    </row>
    <row r="8" spans="1:4" ht="15.75" thickBot="1" x14ac:dyDescent="0.3">
      <c r="A8" s="5" t="s">
        <v>10</v>
      </c>
      <c r="B8" s="8"/>
      <c r="C8" s="8">
        <f>[17]Program!$E$107</f>
        <v>24632000</v>
      </c>
      <c r="D8" s="8"/>
    </row>
    <row r="9" spans="1:4" ht="15.75" thickBot="1" x14ac:dyDescent="0.3">
      <c r="A9" s="5" t="s">
        <v>11</v>
      </c>
      <c r="B9" s="8"/>
      <c r="C9" s="8">
        <f>[17]Program!$E$117</f>
        <v>44161000</v>
      </c>
      <c r="D9" s="8"/>
    </row>
    <row r="10" spans="1:4" ht="15.75" thickBot="1" x14ac:dyDescent="0.3">
      <c r="A10" s="5" t="s">
        <v>156</v>
      </c>
      <c r="B10" s="8"/>
      <c r="C10" s="8">
        <f>[17]Program!$E$128+[17]Program!$E$136</f>
        <v>11290000</v>
      </c>
      <c r="D10" s="8">
        <f>SUM(C3:C10)</f>
        <v>182717000</v>
      </c>
    </row>
    <row r="11" spans="1:4" ht="15.75" thickBot="1" x14ac:dyDescent="0.3">
      <c r="A11" s="3" t="s">
        <v>77</v>
      </c>
      <c r="B11" s="8"/>
      <c r="C11" s="8"/>
      <c r="D11" s="8"/>
    </row>
    <row r="12" spans="1:4" ht="15.75" thickBot="1" x14ac:dyDescent="0.3">
      <c r="A12" s="5" t="s">
        <v>5</v>
      </c>
      <c r="B12" s="8"/>
      <c r="C12" s="8">
        <f>[18]Program!$E$53</f>
        <v>558000</v>
      </c>
      <c r="D12" s="8"/>
    </row>
    <row r="13" spans="1:4" ht="15.75" thickBot="1" x14ac:dyDescent="0.3">
      <c r="A13" s="5" t="s">
        <v>6</v>
      </c>
      <c r="B13" s="8"/>
      <c r="C13" s="8">
        <f>[18]Program!$E$65</f>
        <v>335000</v>
      </c>
      <c r="D13" s="8"/>
    </row>
    <row r="14" spans="1:4" ht="15.75" thickBot="1" x14ac:dyDescent="0.3">
      <c r="A14" s="5" t="s">
        <v>7</v>
      </c>
      <c r="B14" s="8"/>
      <c r="C14" s="8">
        <f>[18]Program!$E$84</f>
        <v>1717000</v>
      </c>
      <c r="D14" s="8"/>
    </row>
    <row r="15" spans="1:4" ht="15.75" thickBot="1" x14ac:dyDescent="0.3">
      <c r="A15" s="5" t="s">
        <v>8</v>
      </c>
      <c r="B15" s="8"/>
      <c r="C15" s="8">
        <f>[18]Program!$E$98</f>
        <v>0</v>
      </c>
      <c r="D15" s="8"/>
    </row>
    <row r="16" spans="1:4" ht="15.75" thickBot="1" x14ac:dyDescent="0.3">
      <c r="A16" s="5" t="s">
        <v>9</v>
      </c>
      <c r="B16" s="8"/>
      <c r="C16" s="8">
        <f>[18]Program!$E$103</f>
        <v>131000</v>
      </c>
      <c r="D16" s="8"/>
    </row>
    <row r="17" spans="1:4" ht="15.75" thickBot="1" x14ac:dyDescent="0.3">
      <c r="A17" s="5" t="s">
        <v>10</v>
      </c>
      <c r="B17" s="8"/>
      <c r="C17" s="8">
        <f>[18]Program!$E$107</f>
        <v>658000</v>
      </c>
      <c r="D17" s="8"/>
    </row>
    <row r="18" spans="1:4" ht="15.75" thickBot="1" x14ac:dyDescent="0.3">
      <c r="A18" s="5" t="s">
        <v>11</v>
      </c>
      <c r="B18" s="8"/>
      <c r="C18" s="8">
        <f>[18]Program!$E$117</f>
        <v>1180000</v>
      </c>
      <c r="D18" s="8"/>
    </row>
    <row r="19" spans="1:4" ht="15.75" thickBot="1" x14ac:dyDescent="0.3">
      <c r="A19" s="5" t="s">
        <v>156</v>
      </c>
      <c r="B19" s="8"/>
      <c r="C19" s="8">
        <f>[18]Program!$E$128+[18]Program!$E$136</f>
        <v>301000</v>
      </c>
      <c r="D19" s="8">
        <f>SUM(C12:C19)</f>
        <v>4880000</v>
      </c>
    </row>
    <row r="20" spans="1:4" ht="15.75" thickBot="1" x14ac:dyDescent="0.3">
      <c r="A20" s="3" t="s">
        <v>123</v>
      </c>
      <c r="B20" s="8"/>
      <c r="C20" s="8"/>
      <c r="D20" s="8"/>
    </row>
    <row r="21" spans="1:4" ht="15.75" thickBot="1" x14ac:dyDescent="0.3">
      <c r="A21" s="5" t="s">
        <v>5</v>
      </c>
      <c r="B21" s="8"/>
      <c r="C21" s="8">
        <f>[19]Program!$E$53</f>
        <v>1017000</v>
      </c>
      <c r="D21" s="8"/>
    </row>
    <row r="22" spans="1:4" ht="15.75" thickBot="1" x14ac:dyDescent="0.3">
      <c r="A22" s="5" t="s">
        <v>6</v>
      </c>
      <c r="B22" s="8"/>
      <c r="C22" s="8">
        <f>[19]Program!$E$65</f>
        <v>607000</v>
      </c>
      <c r="D22" s="8"/>
    </row>
    <row r="23" spans="1:4" ht="15.75" thickBot="1" x14ac:dyDescent="0.3">
      <c r="A23" s="5" t="s">
        <v>7</v>
      </c>
      <c r="B23" s="8"/>
      <c r="C23" s="8">
        <f>[19]Program!$E$84</f>
        <v>0</v>
      </c>
      <c r="D23" s="8"/>
    </row>
    <row r="24" spans="1:4" ht="15.75" thickBot="1" x14ac:dyDescent="0.3">
      <c r="A24" s="5" t="s">
        <v>8</v>
      </c>
      <c r="B24" s="8"/>
      <c r="C24" s="8">
        <f>[19]Program!$E$98</f>
        <v>0</v>
      </c>
      <c r="D24" s="8"/>
    </row>
    <row r="25" spans="1:4" ht="15.75" thickBot="1" x14ac:dyDescent="0.3">
      <c r="A25" s="5" t="s">
        <v>9</v>
      </c>
      <c r="B25" s="8"/>
      <c r="C25" s="8">
        <f>[19]Program!$E$103</f>
        <v>81000</v>
      </c>
      <c r="D25" s="8"/>
    </row>
    <row r="26" spans="1:4" ht="15.75" thickBot="1" x14ac:dyDescent="0.3">
      <c r="A26" s="5" t="s">
        <v>10</v>
      </c>
      <c r="B26" s="8"/>
      <c r="C26" s="8">
        <f>[19]Program!$E$107</f>
        <v>409000</v>
      </c>
      <c r="D26" s="8"/>
    </row>
    <row r="27" spans="1:4" ht="15.75" thickBot="1" x14ac:dyDescent="0.3">
      <c r="A27" s="5" t="s">
        <v>11</v>
      </c>
      <c r="B27" s="8"/>
      <c r="C27" s="8">
        <f>[19]Program!$E$117</f>
        <v>733000</v>
      </c>
      <c r="D27" s="8"/>
    </row>
    <row r="28" spans="1:4" ht="15.75" thickBot="1" x14ac:dyDescent="0.3">
      <c r="A28" s="5" t="s">
        <v>156</v>
      </c>
      <c r="B28" s="8"/>
      <c r="C28" s="8">
        <f>[19]Program!$E$128+[19]Program!$E$136</f>
        <v>187000</v>
      </c>
      <c r="D28" s="8">
        <f>SUM(C21:C28)</f>
        <v>3034000</v>
      </c>
    </row>
    <row r="29" spans="1:4" ht="15.75" thickBot="1" x14ac:dyDescent="0.3">
      <c r="A29" s="3" t="s">
        <v>121</v>
      </c>
      <c r="B29" s="8">
        <f>'Short-term or Intermediate Alt.'!E45</f>
        <v>706000</v>
      </c>
      <c r="C29" s="8"/>
      <c r="D29" s="8">
        <f>B29</f>
        <v>706000</v>
      </c>
    </row>
    <row r="30" spans="1:4" ht="15.75" thickBot="1" x14ac:dyDescent="0.3">
      <c r="A30" s="3" t="s">
        <v>122</v>
      </c>
      <c r="B30" s="8"/>
      <c r="C30" s="8"/>
      <c r="D30" s="8"/>
    </row>
    <row r="31" spans="1:4" ht="15.75" thickBot="1" x14ac:dyDescent="0.3">
      <c r="A31" s="5" t="s">
        <v>5</v>
      </c>
      <c r="B31" s="8"/>
      <c r="C31" s="8">
        <f>[20]Program!$E$53</f>
        <v>1940000</v>
      </c>
      <c r="D31" s="8"/>
    </row>
    <row r="32" spans="1:4" ht="15.75" thickBot="1" x14ac:dyDescent="0.3">
      <c r="A32" s="5" t="s">
        <v>6</v>
      </c>
      <c r="B32" s="8"/>
      <c r="C32" s="8">
        <f>[20]Program!$E$65</f>
        <v>1158000</v>
      </c>
      <c r="D32" s="8"/>
    </row>
    <row r="33" spans="1:4" ht="15.75" thickBot="1" x14ac:dyDescent="0.3">
      <c r="A33" s="5" t="s">
        <v>7</v>
      </c>
      <c r="B33" s="8"/>
      <c r="C33" s="8">
        <f>[20]Program!$E$84</f>
        <v>2314000</v>
      </c>
      <c r="D33" s="8"/>
    </row>
    <row r="34" spans="1:4" ht="15.75" thickBot="1" x14ac:dyDescent="0.3">
      <c r="A34" s="5" t="s">
        <v>8</v>
      </c>
      <c r="B34" s="8"/>
      <c r="C34" s="8">
        <f>[20]Program!$E$98</f>
        <v>0</v>
      </c>
      <c r="D34" s="8"/>
    </row>
    <row r="35" spans="1:4" ht="15.75" thickBot="1" x14ac:dyDescent="0.3">
      <c r="A35" s="5" t="s">
        <v>9</v>
      </c>
      <c r="B35" s="8"/>
      <c r="C35" s="8">
        <f>[20]Program!$E$103</f>
        <v>271000</v>
      </c>
      <c r="D35" s="8"/>
    </row>
    <row r="36" spans="1:4" ht="15.75" thickBot="1" x14ac:dyDescent="0.3">
      <c r="A36" s="5" t="s">
        <v>10</v>
      </c>
      <c r="B36" s="8"/>
      <c r="C36" s="8">
        <f>[20]Program!$E$107</f>
        <v>1364000</v>
      </c>
      <c r="D36" s="8"/>
    </row>
    <row r="37" spans="1:4" ht="15.75" thickBot="1" x14ac:dyDescent="0.3">
      <c r="A37" s="5" t="s">
        <v>11</v>
      </c>
      <c r="B37" s="8"/>
      <c r="C37" s="8">
        <f>[20]Program!$E$117</f>
        <v>2445000</v>
      </c>
      <c r="D37" s="8"/>
    </row>
    <row r="38" spans="1:4" ht="15.75" thickBot="1" x14ac:dyDescent="0.3">
      <c r="A38" s="5" t="s">
        <v>156</v>
      </c>
      <c r="B38" s="8"/>
      <c r="C38" s="8">
        <f>[20]Program!$E$128+[20]Program!$E$136</f>
        <v>625000</v>
      </c>
      <c r="D38" s="8">
        <f>SUM(C31:C38)</f>
        <v>10117000</v>
      </c>
    </row>
    <row r="39" spans="1:4" s="15" customFormat="1" ht="15.75" thickBot="1" x14ac:dyDescent="0.3">
      <c r="A39" s="9" t="s">
        <v>118</v>
      </c>
      <c r="B39" s="14">
        <f>SUM(B2:B38)</f>
        <v>706000</v>
      </c>
      <c r="C39" s="14">
        <f t="shared" ref="C39:D39" si="0">SUM(C2:C38)</f>
        <v>200748000</v>
      </c>
      <c r="D39" s="14">
        <f t="shared" si="0"/>
        <v>201454000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zoomScale="198" zoomScaleNormal="198" workbookViewId="0">
      <selection activeCell="D1" sqref="A1:D1048576"/>
    </sheetView>
  </sheetViews>
  <sheetFormatPr defaultRowHeight="15" x14ac:dyDescent="0.25"/>
  <cols>
    <col min="1" max="1" width="70.7109375" customWidth="1"/>
    <col min="2" max="4" width="20.7109375" customWidth="1"/>
  </cols>
  <sheetData>
    <row r="1" spans="1:7" ht="16.5" thickBot="1" x14ac:dyDescent="0.3">
      <c r="A1" s="1" t="s">
        <v>0</v>
      </c>
      <c r="B1" s="2" t="s">
        <v>1</v>
      </c>
      <c r="C1" s="2" t="s">
        <v>2</v>
      </c>
      <c r="D1" s="2" t="s">
        <v>119</v>
      </c>
    </row>
    <row r="2" spans="1:7" ht="31.5" customHeight="1" thickBot="1" x14ac:dyDescent="0.3">
      <c r="A2" s="3" t="s">
        <v>85</v>
      </c>
      <c r="B2" s="8"/>
      <c r="C2" s="8"/>
      <c r="D2" s="8"/>
    </row>
    <row r="3" spans="1:7" ht="15.75" thickBot="1" x14ac:dyDescent="0.3">
      <c r="A3" s="5" t="s">
        <v>5</v>
      </c>
      <c r="B3" s="8"/>
      <c r="C3" s="8">
        <f>[21]Program!$E$53</f>
        <v>30519000</v>
      </c>
      <c r="D3" s="8"/>
    </row>
    <row r="4" spans="1:7" ht="15.75" thickBot="1" x14ac:dyDescent="0.3">
      <c r="A4" s="5" t="s">
        <v>6</v>
      </c>
      <c r="B4" s="8"/>
      <c r="C4" s="8">
        <f>[21]Program!$E$65</f>
        <v>18241000</v>
      </c>
      <c r="D4" s="8"/>
    </row>
    <row r="5" spans="1:7" ht="15.75" thickBot="1" x14ac:dyDescent="0.3">
      <c r="A5" s="5" t="s">
        <v>7</v>
      </c>
      <c r="B5" s="8"/>
      <c r="C5" s="8">
        <f>[21]Program!$E$84</f>
        <v>29722000</v>
      </c>
      <c r="D5" s="8"/>
      <c r="G5">
        <v>28613000</v>
      </c>
    </row>
    <row r="6" spans="1:7" ht="15.75" thickBot="1" x14ac:dyDescent="0.3">
      <c r="A6" s="5" t="s">
        <v>8</v>
      </c>
      <c r="B6" s="8"/>
      <c r="C6" s="8">
        <f>[21]Program!$E$98</f>
        <v>21648000</v>
      </c>
      <c r="D6" s="8"/>
    </row>
    <row r="7" spans="1:7" ht="15.75" thickBot="1" x14ac:dyDescent="0.3">
      <c r="A7" s="5" t="s">
        <v>9</v>
      </c>
      <c r="B7" s="8"/>
      <c r="C7" s="8">
        <f>[21]Program!$E$103</f>
        <v>5007000</v>
      </c>
      <c r="D7" s="8"/>
    </row>
    <row r="8" spans="1:7" ht="15.75" thickBot="1" x14ac:dyDescent="0.3">
      <c r="A8" s="5" t="s">
        <v>10</v>
      </c>
      <c r="B8" s="8"/>
      <c r="C8" s="8">
        <f>[21]Program!$E$107</f>
        <v>25233000</v>
      </c>
      <c r="D8" s="8"/>
    </row>
    <row r="9" spans="1:7" ht="15.75" thickBot="1" x14ac:dyDescent="0.3">
      <c r="A9" s="5" t="s">
        <v>11</v>
      </c>
      <c r="B9" s="8"/>
      <c r="C9" s="8">
        <f>[21]Program!$E$117</f>
        <v>45239000</v>
      </c>
      <c r="D9" s="8"/>
    </row>
    <row r="10" spans="1:7" ht="15.75" thickBot="1" x14ac:dyDescent="0.3">
      <c r="A10" s="5" t="s">
        <v>156</v>
      </c>
      <c r="B10" s="8"/>
      <c r="C10" s="8">
        <f>[21]Program!$E$128</f>
        <v>23130000</v>
      </c>
      <c r="D10" s="8">
        <f>SUM(C3:C10)</f>
        <v>198739000</v>
      </c>
    </row>
    <row r="11" spans="1:7" ht="15.75" thickBot="1" x14ac:dyDescent="0.3">
      <c r="A11" s="3" t="s">
        <v>124</v>
      </c>
      <c r="B11" s="8"/>
      <c r="C11" s="8"/>
      <c r="D11" s="8"/>
    </row>
    <row r="12" spans="1:7" ht="15.75" thickBot="1" x14ac:dyDescent="0.3">
      <c r="A12" s="5" t="s">
        <v>5</v>
      </c>
      <c r="B12" s="8"/>
      <c r="C12" s="8">
        <f>[22]Program!$E$53</f>
        <v>8783000</v>
      </c>
      <c r="D12" s="8"/>
    </row>
    <row r="13" spans="1:7" ht="15.75" thickBot="1" x14ac:dyDescent="0.3">
      <c r="A13" s="5" t="s">
        <v>6</v>
      </c>
      <c r="B13" s="8"/>
      <c r="C13" s="8">
        <f>[22]Program!$E$65</f>
        <v>5249000</v>
      </c>
      <c r="D13" s="8"/>
    </row>
    <row r="14" spans="1:7" ht="15.75" thickBot="1" x14ac:dyDescent="0.3">
      <c r="A14" s="5" t="s">
        <v>7</v>
      </c>
      <c r="B14" s="8"/>
      <c r="C14" s="8">
        <f>[22]Program!$E$84</f>
        <v>702000</v>
      </c>
      <c r="D14" s="8"/>
    </row>
    <row r="15" spans="1:7" ht="15.75" thickBot="1" x14ac:dyDescent="0.3">
      <c r="A15" s="5" t="s">
        <v>8</v>
      </c>
      <c r="B15" s="8"/>
      <c r="C15" s="8">
        <f>[22]Program!$E$98</f>
        <v>0</v>
      </c>
      <c r="D15" s="8"/>
    </row>
    <row r="16" spans="1:7" ht="15.75" thickBot="1" x14ac:dyDescent="0.3">
      <c r="A16" s="5" t="s">
        <v>9</v>
      </c>
      <c r="B16" s="8"/>
      <c r="C16" s="8">
        <f>[22]Program!$E$103</f>
        <v>737000</v>
      </c>
      <c r="D16" s="8"/>
    </row>
    <row r="17" spans="1:4" ht="15.75" thickBot="1" x14ac:dyDescent="0.3">
      <c r="A17" s="5" t="s">
        <v>10</v>
      </c>
      <c r="B17" s="8"/>
      <c r="C17" s="8">
        <f>[22]Program!$E$107</f>
        <v>3713000</v>
      </c>
      <c r="D17" s="8"/>
    </row>
    <row r="18" spans="1:4" ht="15.75" thickBot="1" x14ac:dyDescent="0.3">
      <c r="A18" s="5" t="s">
        <v>11</v>
      </c>
      <c r="B18" s="8"/>
      <c r="C18" s="8">
        <f>[22]Program!$E$117</f>
        <v>6657000</v>
      </c>
      <c r="D18" s="8"/>
    </row>
    <row r="19" spans="1:4" ht="15.75" thickBot="1" x14ac:dyDescent="0.3">
      <c r="A19" s="5" t="s">
        <v>156</v>
      </c>
      <c r="B19" s="8"/>
      <c r="C19" s="8">
        <f>[22]Program!$E$128</f>
        <v>1702000</v>
      </c>
      <c r="D19" s="8">
        <f>SUM(C12:C19)</f>
        <v>27543000</v>
      </c>
    </row>
    <row r="20" spans="1:4" ht="15.75" thickBot="1" x14ac:dyDescent="0.3">
      <c r="A20" s="3" t="s">
        <v>125</v>
      </c>
      <c r="B20" s="8"/>
      <c r="C20" s="8"/>
      <c r="D20" s="8"/>
    </row>
    <row r="21" spans="1:4" ht="15.75" thickBot="1" x14ac:dyDescent="0.3">
      <c r="A21" s="5" t="s">
        <v>5</v>
      </c>
      <c r="B21" s="8"/>
      <c r="C21" s="8">
        <f>[23]Program!$E$53</f>
        <v>6064000</v>
      </c>
      <c r="D21" s="8"/>
    </row>
    <row r="22" spans="1:4" ht="15.75" thickBot="1" x14ac:dyDescent="0.3">
      <c r="A22" s="5" t="s">
        <v>6</v>
      </c>
      <c r="B22" s="8"/>
      <c r="C22" s="8">
        <f>[23]Program!$E$65</f>
        <v>3626000</v>
      </c>
      <c r="D22" s="8"/>
    </row>
    <row r="23" spans="1:4" ht="15.75" thickBot="1" x14ac:dyDescent="0.3">
      <c r="A23" s="5" t="s">
        <v>7</v>
      </c>
      <c r="B23" s="8"/>
      <c r="C23" s="8">
        <f>[23]Program!$E$84</f>
        <v>0</v>
      </c>
      <c r="D23" s="8"/>
    </row>
    <row r="24" spans="1:4" ht="15.75" thickBot="1" x14ac:dyDescent="0.3">
      <c r="A24" s="5" t="s">
        <v>8</v>
      </c>
      <c r="B24" s="8"/>
      <c r="C24" s="8">
        <f>[23]Program!$E$98</f>
        <v>0</v>
      </c>
      <c r="D24" s="8"/>
    </row>
    <row r="25" spans="1:4" ht="15.75" thickBot="1" x14ac:dyDescent="0.3">
      <c r="A25" s="5" t="s">
        <v>9</v>
      </c>
      <c r="B25" s="8"/>
      <c r="C25" s="8">
        <f>[23]Program!$E$103</f>
        <v>485000</v>
      </c>
      <c r="D25" s="8"/>
    </row>
    <row r="26" spans="1:4" ht="15.75" thickBot="1" x14ac:dyDescent="0.3">
      <c r="A26" s="5" t="s">
        <v>10</v>
      </c>
      <c r="B26" s="8"/>
      <c r="C26" s="8">
        <f>[23]Program!$E$107</f>
        <v>2442000</v>
      </c>
      <c r="D26" s="8"/>
    </row>
    <row r="27" spans="1:4" ht="15.75" thickBot="1" x14ac:dyDescent="0.3">
      <c r="A27" s="5" t="s">
        <v>11</v>
      </c>
      <c r="B27" s="8"/>
      <c r="C27" s="8">
        <f>[23]Program!$E$117</f>
        <v>4377000</v>
      </c>
      <c r="D27" s="8"/>
    </row>
    <row r="28" spans="1:4" ht="15.75" thickBot="1" x14ac:dyDescent="0.3">
      <c r="A28" s="5" t="s">
        <v>156</v>
      </c>
      <c r="B28" s="8"/>
      <c r="C28" s="8">
        <f>[23]Program!$E$128+[23]Program!$E$136</f>
        <v>1119000</v>
      </c>
      <c r="D28" s="8">
        <f>SUM(C21:C28)</f>
        <v>18113000</v>
      </c>
    </row>
    <row r="29" spans="1:4" s="15" customFormat="1" ht="15.75" thickBot="1" x14ac:dyDescent="0.3">
      <c r="A29" s="9" t="s">
        <v>120</v>
      </c>
      <c r="B29" s="14">
        <f>SUM(B2:B28)</f>
        <v>0</v>
      </c>
      <c r="C29" s="14">
        <f t="shared" ref="C29:D29" si="0">SUM(C2:C28)</f>
        <v>244395000</v>
      </c>
      <c r="D29" s="14">
        <f t="shared" si="0"/>
        <v>244395000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Table ES-3</vt:lpstr>
      <vt:lpstr>Table 1-9</vt:lpstr>
      <vt:lpstr>Table 2-9</vt:lpstr>
      <vt:lpstr>Table 3-5</vt:lpstr>
      <vt:lpstr>Table 4-7</vt:lpstr>
      <vt:lpstr>Table 5-8</vt:lpstr>
      <vt:lpstr>Table 6-6</vt:lpstr>
      <vt:lpstr>Table 7-9</vt:lpstr>
      <vt:lpstr>Table 8-10</vt:lpstr>
      <vt:lpstr>Short-term or Intermediate Alt.</vt:lpstr>
      <vt:lpstr>'Table ES-3'!Print_Area</vt:lpstr>
    </vt:vector>
  </TitlesOfParts>
  <Company>HNTB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Gallamore</dc:creator>
  <cp:lastModifiedBy>Jerry Shadewald</cp:lastModifiedBy>
  <cp:lastPrinted>2014-02-26T18:01:28Z</cp:lastPrinted>
  <dcterms:created xsi:type="dcterms:W3CDTF">2013-05-09T20:47:26Z</dcterms:created>
  <dcterms:modified xsi:type="dcterms:W3CDTF">2014-03-11T12:24:34Z</dcterms:modified>
</cp:coreProperties>
</file>