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7 WinterRoad\Winter\annual winter maintenance report\2015-2016\Appendix\"/>
    </mc:Choice>
  </mc:AlternateContent>
  <bookViews>
    <workbookView xWindow="60" yWindow="60" windowWidth="14445" windowHeight="14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Sheet1!$A$1:$H$110</definedName>
  </definedNames>
  <calcPr calcId="152511"/>
</workbook>
</file>

<file path=xl/calcChain.xml><?xml version="1.0" encoding="utf-8"?>
<calcChain xmlns="http://schemas.openxmlformats.org/spreadsheetml/2006/main">
  <c r="D15" i="1" l="1"/>
  <c r="D12" i="1"/>
  <c r="D8" i="1"/>
  <c r="D95" i="1"/>
  <c r="D77" i="1"/>
  <c r="D76" i="1"/>
  <c r="D44" i="1"/>
  <c r="D42" i="1"/>
  <c r="D70" i="1"/>
  <c r="D68" i="1"/>
  <c r="D67" i="1"/>
  <c r="D66" i="1"/>
  <c r="D62" i="1"/>
  <c r="D60" i="1"/>
  <c r="D22" i="1"/>
  <c r="D21" i="1"/>
  <c r="D19" i="1"/>
  <c r="D18" i="1"/>
  <c r="D14" i="1"/>
  <c r="D7" i="1"/>
  <c r="D31" i="1"/>
  <c r="D28" i="1"/>
  <c r="D27" i="1"/>
  <c r="D26" i="1"/>
  <c r="D94" i="1"/>
  <c r="D93" i="1"/>
  <c r="D89" i="1"/>
  <c r="D88" i="1"/>
  <c r="D85" i="1"/>
  <c r="D84" i="1"/>
  <c r="D83" i="1"/>
  <c r="D80" i="1"/>
  <c r="D37" i="1"/>
  <c r="D56" i="1"/>
  <c r="D64" i="1"/>
  <c r="D63" i="1"/>
  <c r="D58" i="1"/>
  <c r="F22" i="1"/>
  <c r="F21" i="1"/>
  <c r="F15" i="1"/>
  <c r="F14" i="1"/>
  <c r="F12" i="1"/>
  <c r="F7" i="1"/>
  <c r="F31" i="1"/>
  <c r="F27" i="1"/>
  <c r="F95" i="1"/>
  <c r="F94" i="1"/>
  <c r="F93" i="1"/>
  <c r="F85" i="1"/>
  <c r="F84" i="1"/>
  <c r="F76" i="1"/>
  <c r="F40" i="1"/>
  <c r="F68" i="1"/>
  <c r="H56" i="1"/>
  <c r="H57" i="1"/>
  <c r="H58" i="1"/>
  <c r="H59" i="1"/>
  <c r="F32" i="1" l="1"/>
  <c r="H86" i="1"/>
  <c r="H87" i="1"/>
  <c r="H22" i="1"/>
  <c r="H20" i="1"/>
  <c r="H19" i="1"/>
  <c r="H12" i="1"/>
  <c r="H95" i="1"/>
  <c r="H77" i="1"/>
  <c r="H34" i="1"/>
  <c r="H67" i="1"/>
  <c r="H66" i="1"/>
  <c r="H63" i="1"/>
  <c r="H60" i="1"/>
  <c r="H18" i="1"/>
  <c r="H16" i="1"/>
  <c r="H15" i="1"/>
  <c r="H14" i="1"/>
  <c r="H11" i="1"/>
  <c r="H9" i="1"/>
  <c r="H7" i="1"/>
  <c r="H31" i="1"/>
  <c r="H30" i="1"/>
  <c r="H29" i="1"/>
  <c r="H28" i="1"/>
  <c r="H93" i="1"/>
  <c r="H89" i="1"/>
  <c r="H88" i="1"/>
  <c r="H85" i="1"/>
  <c r="H76" i="1"/>
  <c r="H42" i="1"/>
  <c r="H41" i="1"/>
  <c r="H40" i="1"/>
  <c r="H39" i="1"/>
  <c r="H38" i="1"/>
  <c r="H37" i="1"/>
  <c r="H72" i="1"/>
  <c r="H70" i="1"/>
  <c r="H69" i="1"/>
  <c r="H68" i="1"/>
  <c r="H65" i="1"/>
  <c r="H62" i="1"/>
  <c r="H61" i="1"/>
  <c r="H44" i="1"/>
  <c r="H13" i="1"/>
  <c r="H17" i="1"/>
  <c r="H21" i="1"/>
  <c r="H91" i="1"/>
  <c r="H43" i="1"/>
  <c r="H35" i="1"/>
  <c r="H26" i="1"/>
  <c r="H94" i="1"/>
  <c r="H36" i="1"/>
  <c r="H27" i="1"/>
  <c r="H92" i="1"/>
  <c r="H90" i="1"/>
  <c r="H84" i="1"/>
  <c r="H82" i="1"/>
  <c r="H81" i="1"/>
  <c r="H80" i="1"/>
  <c r="H79" i="1"/>
  <c r="H78" i="1"/>
  <c r="H64" i="1"/>
  <c r="H71" i="1"/>
  <c r="F74" i="1"/>
  <c r="F45" i="1"/>
  <c r="F23" i="1"/>
  <c r="F96" i="1"/>
  <c r="H83" i="1"/>
  <c r="D23" i="1" l="1"/>
  <c r="H23" i="1" s="1"/>
  <c r="D32" i="1"/>
  <c r="H32" i="1" s="1"/>
  <c r="D96" i="1"/>
  <c r="H96" i="1" s="1"/>
  <c r="D45" i="1"/>
  <c r="H45" i="1" s="1"/>
  <c r="D74" i="1"/>
  <c r="H8" i="1"/>
  <c r="H25" i="1"/>
  <c r="F98" i="1"/>
  <c r="H10" i="1"/>
  <c r="H74" i="1" l="1"/>
  <c r="H98" i="1" s="1"/>
  <c r="H73" i="1"/>
  <c r="D98" i="1"/>
</calcChain>
</file>

<file path=xl/sharedStrings.xml><?xml version="1.0" encoding="utf-8"?>
<sst xmlns="http://schemas.openxmlformats.org/spreadsheetml/2006/main" count="194" uniqueCount="111">
  <si>
    <t>REGION</t>
  </si>
  <si>
    <t>SOUTHWEST</t>
  </si>
  <si>
    <t>SOUTHEAST</t>
  </si>
  <si>
    <t>NORTHEAST</t>
  </si>
  <si>
    <t>NORTHWEST</t>
  </si>
  <si>
    <t>GROUP</t>
  </si>
  <si>
    <t>B</t>
  </si>
  <si>
    <t>A</t>
  </si>
  <si>
    <t>C</t>
  </si>
  <si>
    <t>D</t>
  </si>
  <si>
    <t>COUNTY</t>
  </si>
  <si>
    <t>COLUMBIA</t>
  </si>
  <si>
    <t>CRAWFORD</t>
  </si>
  <si>
    <t>DANE</t>
  </si>
  <si>
    <t>DODGE</t>
  </si>
  <si>
    <t>GRANT</t>
  </si>
  <si>
    <t>GREEN</t>
  </si>
  <si>
    <t>IOWA</t>
  </si>
  <si>
    <t>JEFFERSON</t>
  </si>
  <si>
    <t>JUNEAU</t>
  </si>
  <si>
    <t>LAFAYETTE</t>
  </si>
  <si>
    <t>MONROE</t>
  </si>
  <si>
    <t>RICHLAND</t>
  </si>
  <si>
    <t>ROCK</t>
  </si>
  <si>
    <t>SAUK</t>
  </si>
  <si>
    <t>VERNON</t>
  </si>
  <si>
    <t>TOTAL</t>
  </si>
  <si>
    <t>KENOSHA</t>
  </si>
  <si>
    <t>MILWAUKEE</t>
  </si>
  <si>
    <t>OZAUKEE</t>
  </si>
  <si>
    <t>RACINE</t>
  </si>
  <si>
    <t>WALWORTH</t>
  </si>
  <si>
    <t>WASHINGTON</t>
  </si>
  <si>
    <t>WAUKESHA</t>
  </si>
  <si>
    <t>BROWN</t>
  </si>
  <si>
    <t>CALUMET</t>
  </si>
  <si>
    <t>DOOR</t>
  </si>
  <si>
    <t>FOND DU LAC</t>
  </si>
  <si>
    <t>MANITOWOC</t>
  </si>
  <si>
    <t>MARINETTE</t>
  </si>
  <si>
    <t>OCONTO</t>
  </si>
  <si>
    <t>OUTAGAMIE</t>
  </si>
  <si>
    <t>SHEBOYGAN</t>
  </si>
  <si>
    <t>WINNEBAGO</t>
  </si>
  <si>
    <t>ADAMS</t>
  </si>
  <si>
    <t>FLORENCE</t>
  </si>
  <si>
    <t>FOREST</t>
  </si>
  <si>
    <t>GREEN LAKE</t>
  </si>
  <si>
    <t>IRON</t>
  </si>
  <si>
    <t>LANGLADE</t>
  </si>
  <si>
    <t>LINCOLN</t>
  </si>
  <si>
    <t>MARATHON</t>
  </si>
  <si>
    <t>MARQUETTE</t>
  </si>
  <si>
    <t>MENOMINEE</t>
  </si>
  <si>
    <t>ONEIDA</t>
  </si>
  <si>
    <t>PORTAGE</t>
  </si>
  <si>
    <t>PRICE</t>
  </si>
  <si>
    <t>SHAWANO</t>
  </si>
  <si>
    <t>VILAS</t>
  </si>
  <si>
    <t>WAUPACA</t>
  </si>
  <si>
    <t>WAUSHARA</t>
  </si>
  <si>
    <t>WOOD</t>
  </si>
  <si>
    <t>ASHLAND</t>
  </si>
  <si>
    <t>BARRON</t>
  </si>
  <si>
    <t>BAYFIELD</t>
  </si>
  <si>
    <t>BUFFALO</t>
  </si>
  <si>
    <t>BURNETT</t>
  </si>
  <si>
    <t>CHIPPEWA</t>
  </si>
  <si>
    <t>CLARK</t>
  </si>
  <si>
    <t>DOUGLAS</t>
  </si>
  <si>
    <t>DUNN</t>
  </si>
  <si>
    <t>EAU CLAIRE</t>
  </si>
  <si>
    <t>JACKSON</t>
  </si>
  <si>
    <t>PEPIN</t>
  </si>
  <si>
    <t>PIERCE</t>
  </si>
  <si>
    <t>POLK</t>
  </si>
  <si>
    <t>RUSK</t>
  </si>
  <si>
    <t>SAWYER</t>
  </si>
  <si>
    <t>TAYLOR</t>
  </si>
  <si>
    <t>TREMPEALEAU</t>
  </si>
  <si>
    <t>WASHBURN</t>
  </si>
  <si>
    <t>STATE TOTAL</t>
  </si>
  <si>
    <t>PREWETTING</t>
  </si>
  <si>
    <t>(GALLONS)</t>
  </si>
  <si>
    <t>ANTI-ICING</t>
  </si>
  <si>
    <t># OF COUNTIES</t>
  </si>
  <si>
    <t>PREVIOUS USE</t>
  </si>
  <si>
    <t>2004-2005</t>
  </si>
  <si>
    <t>2003-2004</t>
  </si>
  <si>
    <t>2002-2003</t>
  </si>
  <si>
    <t>2001-2002</t>
  </si>
  <si>
    <t>2000-2001</t>
  </si>
  <si>
    <t>2005-2006</t>
  </si>
  <si>
    <t>NORTH CENTRAL</t>
  </si>
  <si>
    <t>Table A-6. Salt Brine Use</t>
  </si>
  <si>
    <t>2006-2007</t>
  </si>
  <si>
    <t>KEWAUNEE</t>
  </si>
  <si>
    <t>LA CROSSE</t>
  </si>
  <si>
    <t>2007-2008</t>
  </si>
  <si>
    <t>2008-2009</t>
  </si>
  <si>
    <t>2009-2010</t>
  </si>
  <si>
    <t>2010-2011</t>
  </si>
  <si>
    <t>2012-2013</t>
  </si>
  <si>
    <t>From Winter Storm Reports, 2013-2014</t>
  </si>
  <si>
    <t>2013-2014</t>
  </si>
  <si>
    <t>2014-2015</t>
  </si>
  <si>
    <t>E</t>
  </si>
  <si>
    <t>F</t>
  </si>
  <si>
    <t>From Winter Storm Reports, 2015-2016</t>
  </si>
  <si>
    <t>2015-2016</t>
  </si>
  <si>
    <t>SAINT CROIX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</si>
</sst>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zoomScaleNormal="100" workbookViewId="0">
      <pane ySplit="5" topLeftCell="A6" activePane="bottomLeft" state="frozen"/>
      <selection pane="bottomLeft" activeCell="F1" sqref="F1"/>
    </sheetView>
  </sheetViews>
  <sheetFormatPr defaultRowHeight="12.75" x14ac:dyDescent="0.2"/>
  <cols>
    <col min="1" max="1" width="16.28515625" customWidth="1"/>
    <col min="2" max="2" width="11.140625" customWidth="1"/>
    <col min="3" max="3" width="17.7109375" customWidth="1"/>
    <col min="4" max="4" width="12.7109375" style="13" customWidth="1"/>
    <col min="5" max="5" width="9.140625" style="1" customWidth="1"/>
    <col min="6" max="6" width="11.42578125" style="13" bestFit="1" customWidth="1"/>
    <col min="7" max="7" width="9.140625" style="1" customWidth="1"/>
    <col min="8" max="8" width="13.140625" style="1" bestFit="1" customWidth="1"/>
  </cols>
  <sheetData>
    <row r="1" spans="1:8" ht="18" x14ac:dyDescent="0.25">
      <c r="A1" s="8" t="s">
        <v>94</v>
      </c>
    </row>
    <row r="2" spans="1:8" x14ac:dyDescent="0.2">
      <c r="A2" s="7" t="s">
        <v>108</v>
      </c>
      <c r="D2" s="10"/>
    </row>
    <row r="3" spans="1:8" x14ac:dyDescent="0.2">
      <c r="D3" s="10"/>
    </row>
    <row r="4" spans="1:8" x14ac:dyDescent="0.2">
      <c r="A4" s="3" t="s">
        <v>0</v>
      </c>
      <c r="B4" s="3" t="s">
        <v>5</v>
      </c>
      <c r="C4" s="3" t="s">
        <v>10</v>
      </c>
      <c r="D4" s="10" t="s">
        <v>82</v>
      </c>
      <c r="F4" s="10" t="s">
        <v>84</v>
      </c>
      <c r="H4" s="3" t="s">
        <v>26</v>
      </c>
    </row>
    <row r="5" spans="1:8" x14ac:dyDescent="0.2">
      <c r="D5" s="10" t="s">
        <v>83</v>
      </c>
      <c r="F5" s="10" t="s">
        <v>83</v>
      </c>
      <c r="H5" s="3" t="s">
        <v>83</v>
      </c>
    </row>
    <row r="6" spans="1:8" ht="6" customHeight="1" x14ac:dyDescent="0.2">
      <c r="D6" s="10"/>
      <c r="F6" s="10"/>
      <c r="H6" s="3"/>
    </row>
    <row r="7" spans="1:8" x14ac:dyDescent="0.2">
      <c r="A7" s="5" t="s">
        <v>1</v>
      </c>
      <c r="B7" s="9" t="s">
        <v>6</v>
      </c>
      <c r="C7" t="s">
        <v>11</v>
      </c>
      <c r="D7" s="14">
        <f>2115+1240</f>
        <v>3355</v>
      </c>
      <c r="F7" s="14">
        <f>45000+10100</f>
        <v>55100</v>
      </c>
      <c r="H7" s="4">
        <f t="shared" ref="H7:H22" si="0">D7+F7</f>
        <v>58455</v>
      </c>
    </row>
    <row r="8" spans="1:8" x14ac:dyDescent="0.2">
      <c r="B8" s="9" t="s">
        <v>8</v>
      </c>
      <c r="C8" t="s">
        <v>12</v>
      </c>
      <c r="D8" s="14">
        <f>19415+867</f>
        <v>20282</v>
      </c>
      <c r="F8" s="14">
        <v>14800</v>
      </c>
      <c r="H8" s="4">
        <f t="shared" si="0"/>
        <v>35082</v>
      </c>
    </row>
    <row r="9" spans="1:8" x14ac:dyDescent="0.2">
      <c r="B9" s="9" t="s">
        <v>7</v>
      </c>
      <c r="C9" t="s">
        <v>13</v>
      </c>
      <c r="D9" s="14">
        <v>92207</v>
      </c>
      <c r="F9" s="14">
        <v>112067</v>
      </c>
      <c r="H9" s="4">
        <f t="shared" si="0"/>
        <v>204274</v>
      </c>
    </row>
    <row r="10" spans="1:8" x14ac:dyDescent="0.2">
      <c r="B10" s="9" t="s">
        <v>6</v>
      </c>
      <c r="C10" t="s">
        <v>14</v>
      </c>
      <c r="D10" s="14">
        <v>30781</v>
      </c>
      <c r="F10" s="14">
        <v>26539</v>
      </c>
      <c r="H10" s="4">
        <f t="shared" si="0"/>
        <v>57320</v>
      </c>
    </row>
    <row r="11" spans="1:8" x14ac:dyDescent="0.2">
      <c r="B11" s="9" t="s">
        <v>6</v>
      </c>
      <c r="C11" t="s">
        <v>15</v>
      </c>
      <c r="D11" s="14">
        <v>25478</v>
      </c>
      <c r="F11" s="14">
        <v>7000</v>
      </c>
      <c r="H11" s="4">
        <f t="shared" si="0"/>
        <v>32478</v>
      </c>
    </row>
    <row r="12" spans="1:8" x14ac:dyDescent="0.2">
      <c r="B12" s="9" t="s">
        <v>9</v>
      </c>
      <c r="C12" t="s">
        <v>16</v>
      </c>
      <c r="D12" s="14">
        <f>9504+70</f>
        <v>9574</v>
      </c>
      <c r="F12" s="14">
        <f>5393+145</f>
        <v>5538</v>
      </c>
      <c r="H12" s="4">
        <f t="shared" si="0"/>
        <v>15112</v>
      </c>
    </row>
    <row r="13" spans="1:8" x14ac:dyDescent="0.2">
      <c r="B13" s="9" t="s">
        <v>106</v>
      </c>
      <c r="C13" t="s">
        <v>17</v>
      </c>
      <c r="D13" s="14">
        <v>1210</v>
      </c>
      <c r="F13" s="14">
        <v>29164</v>
      </c>
      <c r="H13" s="4">
        <f t="shared" si="0"/>
        <v>30374</v>
      </c>
    </row>
    <row r="14" spans="1:8" x14ac:dyDescent="0.2">
      <c r="B14" s="9" t="s">
        <v>6</v>
      </c>
      <c r="C14" t="s">
        <v>18</v>
      </c>
      <c r="D14" s="14">
        <f>263+52196+33</f>
        <v>52492</v>
      </c>
      <c r="F14" s="14">
        <f>37489+195</f>
        <v>37684</v>
      </c>
      <c r="H14" s="4">
        <f t="shared" si="0"/>
        <v>90176</v>
      </c>
    </row>
    <row r="15" spans="1:8" x14ac:dyDescent="0.2">
      <c r="B15" s="9" t="s">
        <v>8</v>
      </c>
      <c r="C15" t="s">
        <v>19</v>
      </c>
      <c r="D15" s="14">
        <f>25793+285+275</f>
        <v>26353</v>
      </c>
      <c r="F15" s="14">
        <f>23965+1520</f>
        <v>25485</v>
      </c>
      <c r="H15" s="4">
        <f t="shared" si="0"/>
        <v>51838</v>
      </c>
    </row>
    <row r="16" spans="1:8" x14ac:dyDescent="0.2">
      <c r="B16" s="9" t="s">
        <v>8</v>
      </c>
      <c r="C16" s="7" t="s">
        <v>97</v>
      </c>
      <c r="D16" s="14">
        <v>11230</v>
      </c>
      <c r="F16" s="14">
        <v>47741</v>
      </c>
      <c r="H16" s="4">
        <f t="shared" si="0"/>
        <v>58971</v>
      </c>
    </row>
    <row r="17" spans="1:8" x14ac:dyDescent="0.2">
      <c r="B17" s="9" t="s">
        <v>9</v>
      </c>
      <c r="C17" t="s">
        <v>20</v>
      </c>
      <c r="D17" s="14">
        <v>2180</v>
      </c>
      <c r="F17" s="14">
        <v>8700</v>
      </c>
      <c r="H17" s="4">
        <f t="shared" si="0"/>
        <v>10880</v>
      </c>
    </row>
    <row r="18" spans="1:8" x14ac:dyDescent="0.2">
      <c r="B18" s="9" t="s">
        <v>6</v>
      </c>
      <c r="C18" t="s">
        <v>21</v>
      </c>
      <c r="D18" s="14">
        <f>16289+95</f>
        <v>16384</v>
      </c>
      <c r="F18" s="14">
        <v>57050</v>
      </c>
      <c r="H18" s="4">
        <f t="shared" si="0"/>
        <v>73434</v>
      </c>
    </row>
    <row r="19" spans="1:8" x14ac:dyDescent="0.2">
      <c r="B19" s="9" t="s">
        <v>9</v>
      </c>
      <c r="C19" t="s">
        <v>22</v>
      </c>
      <c r="D19" s="14">
        <f>10961+1496</f>
        <v>12457</v>
      </c>
      <c r="F19" s="14">
        <v>17378</v>
      </c>
      <c r="H19" s="4">
        <f t="shared" si="0"/>
        <v>29835</v>
      </c>
    </row>
    <row r="20" spans="1:8" x14ac:dyDescent="0.2">
      <c r="B20" s="9" t="s">
        <v>6</v>
      </c>
      <c r="C20" t="s">
        <v>23</v>
      </c>
      <c r="D20" s="14">
        <v>30704</v>
      </c>
      <c r="F20" s="14">
        <v>3050</v>
      </c>
      <c r="H20" s="4">
        <f t="shared" si="0"/>
        <v>33754</v>
      </c>
    </row>
    <row r="21" spans="1:8" x14ac:dyDescent="0.2">
      <c r="B21" s="9" t="s">
        <v>6</v>
      </c>
      <c r="C21" t="s">
        <v>24</v>
      </c>
      <c r="D21" s="14">
        <f>4514+911</f>
        <v>5425</v>
      </c>
      <c r="F21" s="14">
        <f>21783+2012</f>
        <v>23795</v>
      </c>
      <c r="H21" s="4">
        <f t="shared" si="0"/>
        <v>29220</v>
      </c>
    </row>
    <row r="22" spans="1:8" x14ac:dyDescent="0.2">
      <c r="B22" s="9" t="s">
        <v>8</v>
      </c>
      <c r="C22" t="s">
        <v>25</v>
      </c>
      <c r="D22" s="14">
        <f>13031+2641+325</f>
        <v>15997</v>
      </c>
      <c r="F22" s="14">
        <f>25900+3500</f>
        <v>29400</v>
      </c>
      <c r="H22" s="4">
        <f t="shared" si="0"/>
        <v>45397</v>
      </c>
    </row>
    <row r="23" spans="1:8" x14ac:dyDescent="0.2">
      <c r="B23" s="1"/>
      <c r="C23" s="5" t="s">
        <v>26</v>
      </c>
      <c r="D23" s="11">
        <f>SUM(D7:D22)</f>
        <v>356109</v>
      </c>
      <c r="E23" s="6"/>
      <c r="F23" s="11">
        <f>SUM(F7:F22)</f>
        <v>500491</v>
      </c>
      <c r="G23" s="15"/>
      <c r="H23" s="6">
        <f>D23+F23</f>
        <v>856600</v>
      </c>
    </row>
    <row r="24" spans="1:8" x14ac:dyDescent="0.2">
      <c r="B24" s="1"/>
      <c r="D24" s="12"/>
      <c r="F24" s="12"/>
      <c r="H24" s="4"/>
    </row>
    <row r="25" spans="1:8" x14ac:dyDescent="0.2">
      <c r="A25" s="5" t="s">
        <v>2</v>
      </c>
      <c r="B25" s="9" t="s">
        <v>6</v>
      </c>
      <c r="C25" t="s">
        <v>27</v>
      </c>
      <c r="D25" s="14">
        <v>3138</v>
      </c>
      <c r="F25" s="14">
        <v>2010</v>
      </c>
      <c r="H25" s="4">
        <f t="shared" ref="H25:H32" si="1">D25+F25</f>
        <v>5148</v>
      </c>
    </row>
    <row r="26" spans="1:8" x14ac:dyDescent="0.2">
      <c r="B26" s="9" t="s">
        <v>7</v>
      </c>
      <c r="C26" t="s">
        <v>28</v>
      </c>
      <c r="D26" s="14">
        <f>15050+10400</f>
        <v>25450</v>
      </c>
      <c r="F26" s="14">
        <v>21050</v>
      </c>
      <c r="H26" s="4">
        <f t="shared" si="1"/>
        <v>46500</v>
      </c>
    </row>
    <row r="27" spans="1:8" x14ac:dyDescent="0.2">
      <c r="B27" s="9" t="s">
        <v>9</v>
      </c>
      <c r="C27" t="s">
        <v>29</v>
      </c>
      <c r="D27" s="14">
        <f>6415+19955</f>
        <v>26370</v>
      </c>
      <c r="F27" s="14">
        <f>500+5550</f>
        <v>6050</v>
      </c>
      <c r="H27" s="4">
        <f t="shared" si="1"/>
        <v>32420</v>
      </c>
    </row>
    <row r="28" spans="1:8" x14ac:dyDescent="0.2">
      <c r="B28" s="9" t="s">
        <v>6</v>
      </c>
      <c r="C28" t="s">
        <v>30</v>
      </c>
      <c r="D28" s="14">
        <f>6623+28751</f>
        <v>35374</v>
      </c>
      <c r="F28" s="14"/>
      <c r="H28" s="4">
        <f t="shared" si="1"/>
        <v>35374</v>
      </c>
    </row>
    <row r="29" spans="1:8" x14ac:dyDescent="0.2">
      <c r="B29" s="9" t="s">
        <v>7</v>
      </c>
      <c r="C29" t="s">
        <v>31</v>
      </c>
      <c r="D29" s="14">
        <v>22520</v>
      </c>
      <c r="F29" s="14">
        <v>58450</v>
      </c>
      <c r="H29" s="4">
        <f t="shared" si="1"/>
        <v>80970</v>
      </c>
    </row>
    <row r="30" spans="1:8" x14ac:dyDescent="0.2">
      <c r="B30" s="9" t="s">
        <v>6</v>
      </c>
      <c r="C30" t="s">
        <v>32</v>
      </c>
      <c r="D30" s="14">
        <v>51211</v>
      </c>
      <c r="F30" s="14">
        <v>2875</v>
      </c>
      <c r="H30" s="4">
        <f t="shared" si="1"/>
        <v>54086</v>
      </c>
    </row>
    <row r="31" spans="1:8" x14ac:dyDescent="0.2">
      <c r="B31" s="9" t="s">
        <v>7</v>
      </c>
      <c r="C31" t="s">
        <v>33</v>
      </c>
      <c r="D31" s="14">
        <f>5004+214568+11892</f>
        <v>231464</v>
      </c>
      <c r="F31" s="14">
        <f>5595+160700+14330</f>
        <v>180625</v>
      </c>
      <c r="H31" s="4">
        <f t="shared" si="1"/>
        <v>412089</v>
      </c>
    </row>
    <row r="32" spans="1:8" x14ac:dyDescent="0.2">
      <c r="C32" s="5" t="s">
        <v>26</v>
      </c>
      <c r="D32" s="11">
        <f>SUM(D25:D31)</f>
        <v>395527</v>
      </c>
      <c r="E32" s="15"/>
      <c r="F32" s="11">
        <f>SUM(F25:F31)</f>
        <v>271060</v>
      </c>
      <c r="G32" s="15"/>
      <c r="H32" s="6">
        <f t="shared" si="1"/>
        <v>666587</v>
      </c>
    </row>
    <row r="33" spans="1:8" x14ac:dyDescent="0.2">
      <c r="D33" s="12"/>
      <c r="F33" s="12"/>
      <c r="H33" s="4"/>
    </row>
    <row r="34" spans="1:8" x14ac:dyDescent="0.2">
      <c r="A34" s="5" t="s">
        <v>3</v>
      </c>
      <c r="B34" s="9" t="s">
        <v>6</v>
      </c>
      <c r="C34" t="s">
        <v>34</v>
      </c>
      <c r="D34" s="14">
        <v>66767</v>
      </c>
      <c r="F34" s="14">
        <v>121464</v>
      </c>
      <c r="H34" s="4">
        <f t="shared" ref="H34:H44" si="2">D34+F34</f>
        <v>188231</v>
      </c>
    </row>
    <row r="35" spans="1:8" x14ac:dyDescent="0.2">
      <c r="B35" s="9" t="s">
        <v>106</v>
      </c>
      <c r="C35" t="s">
        <v>35</v>
      </c>
      <c r="D35" s="14">
        <v>4893</v>
      </c>
      <c r="F35" s="14">
        <v>500</v>
      </c>
      <c r="H35" s="4">
        <f t="shared" si="2"/>
        <v>5393</v>
      </c>
    </row>
    <row r="36" spans="1:8" x14ac:dyDescent="0.2">
      <c r="B36" s="9" t="s">
        <v>9</v>
      </c>
      <c r="C36" t="s">
        <v>36</v>
      </c>
      <c r="D36" s="14">
        <v>9850</v>
      </c>
      <c r="F36" s="14">
        <v>41500</v>
      </c>
      <c r="H36" s="4">
        <f t="shared" si="2"/>
        <v>51350</v>
      </c>
    </row>
    <row r="37" spans="1:8" x14ac:dyDescent="0.2">
      <c r="B37" s="9" t="s">
        <v>6</v>
      </c>
      <c r="C37" t="s">
        <v>37</v>
      </c>
      <c r="D37" s="14">
        <f>42982+3414</f>
        <v>46396</v>
      </c>
      <c r="F37" s="14">
        <v>24864</v>
      </c>
      <c r="H37" s="4">
        <f t="shared" si="2"/>
        <v>71260</v>
      </c>
    </row>
    <row r="38" spans="1:8" x14ac:dyDescent="0.2">
      <c r="B38" s="9" t="s">
        <v>107</v>
      </c>
      <c r="C38" s="7" t="s">
        <v>96</v>
      </c>
      <c r="D38" s="14">
        <v>8970</v>
      </c>
      <c r="F38" s="14">
        <v>1300</v>
      </c>
      <c r="H38" s="4">
        <f t="shared" si="2"/>
        <v>10270</v>
      </c>
    </row>
    <row r="39" spans="1:8" x14ac:dyDescent="0.2">
      <c r="B39" s="9" t="s">
        <v>8</v>
      </c>
      <c r="C39" t="s">
        <v>38</v>
      </c>
      <c r="D39" s="14">
        <v>43419</v>
      </c>
      <c r="F39" s="14">
        <v>52150</v>
      </c>
      <c r="H39" s="4">
        <f t="shared" si="2"/>
        <v>95569</v>
      </c>
    </row>
    <row r="40" spans="1:8" x14ac:dyDescent="0.2">
      <c r="B40" s="9" t="s">
        <v>9</v>
      </c>
      <c r="C40" t="s">
        <v>39</v>
      </c>
      <c r="D40" s="14">
        <v>18745</v>
      </c>
      <c r="F40" s="14">
        <f>73800+12000</f>
        <v>85800</v>
      </c>
      <c r="H40" s="4">
        <f t="shared" si="2"/>
        <v>104545</v>
      </c>
    </row>
    <row r="41" spans="1:8" x14ac:dyDescent="0.2">
      <c r="B41" s="9" t="s">
        <v>8</v>
      </c>
      <c r="C41" t="s">
        <v>40</v>
      </c>
      <c r="D41" s="14">
        <v>18805</v>
      </c>
      <c r="F41" s="14">
        <v>27867</v>
      </c>
      <c r="H41" s="4">
        <f t="shared" si="2"/>
        <v>46672</v>
      </c>
    </row>
    <row r="42" spans="1:8" x14ac:dyDescent="0.2">
      <c r="B42" s="9" t="s">
        <v>6</v>
      </c>
      <c r="C42" t="s">
        <v>41</v>
      </c>
      <c r="D42" s="14">
        <f>106161+974</f>
        <v>107135</v>
      </c>
      <c r="F42" s="14">
        <v>1980</v>
      </c>
      <c r="H42" s="4">
        <f t="shared" si="2"/>
        <v>109115</v>
      </c>
    </row>
    <row r="43" spans="1:8" x14ac:dyDescent="0.2">
      <c r="B43" s="9" t="s">
        <v>8</v>
      </c>
      <c r="C43" t="s">
        <v>42</v>
      </c>
      <c r="D43" s="14">
        <v>112996</v>
      </c>
      <c r="F43" s="14">
        <v>63775</v>
      </c>
      <c r="H43" s="4">
        <f t="shared" si="2"/>
        <v>176771</v>
      </c>
    </row>
    <row r="44" spans="1:8" x14ac:dyDescent="0.2">
      <c r="B44" s="9" t="s">
        <v>6</v>
      </c>
      <c r="C44" t="s">
        <v>43</v>
      </c>
      <c r="D44" s="14">
        <f>169956+75</f>
        <v>170031</v>
      </c>
      <c r="F44" s="14">
        <v>104400</v>
      </c>
      <c r="H44" s="4">
        <f t="shared" si="2"/>
        <v>274431</v>
      </c>
    </row>
    <row r="45" spans="1:8" x14ac:dyDescent="0.2">
      <c r="B45" s="1"/>
      <c r="C45" s="5" t="s">
        <v>26</v>
      </c>
      <c r="D45" s="11">
        <f>SUM(D34:D44)</f>
        <v>608007</v>
      </c>
      <c r="E45" s="6"/>
      <c r="F45" s="11">
        <f>SUM(F34:F44)</f>
        <v>525600</v>
      </c>
      <c r="G45" s="15"/>
      <c r="H45" s="6">
        <f>D45+F45</f>
        <v>1133607</v>
      </c>
    </row>
    <row r="46" spans="1:8" x14ac:dyDescent="0.2">
      <c r="B46" s="1"/>
      <c r="D46" s="12"/>
      <c r="F46" s="12"/>
      <c r="H46" s="4"/>
    </row>
    <row r="47" spans="1:8" x14ac:dyDescent="0.2">
      <c r="B47" s="1"/>
      <c r="D47" s="12"/>
      <c r="F47" s="12"/>
      <c r="H47" s="4"/>
    </row>
    <row r="48" spans="1:8" x14ac:dyDescent="0.2">
      <c r="B48" s="1"/>
      <c r="D48" s="12"/>
      <c r="F48" s="12"/>
      <c r="H48" s="4"/>
    </row>
    <row r="49" spans="1:8" x14ac:dyDescent="0.2">
      <c r="B49" s="1"/>
      <c r="D49" s="12"/>
      <c r="F49" s="12"/>
      <c r="H49" s="4"/>
    </row>
    <row r="50" spans="1:8" ht="18" x14ac:dyDescent="0.25">
      <c r="A50" s="8" t="s">
        <v>94</v>
      </c>
      <c r="B50" s="1"/>
      <c r="D50" s="12"/>
      <c r="F50" s="12"/>
      <c r="H50" s="4"/>
    </row>
    <row r="51" spans="1:8" ht="12.75" customHeight="1" x14ac:dyDescent="0.2">
      <c r="A51" s="7" t="s">
        <v>103</v>
      </c>
      <c r="B51" s="1"/>
      <c r="D51" s="12"/>
      <c r="F51" s="12"/>
      <c r="H51" s="4"/>
    </row>
    <row r="52" spans="1:8" ht="12.75" customHeight="1" x14ac:dyDescent="0.25">
      <c r="A52" s="8"/>
      <c r="B52" s="1"/>
      <c r="D52" s="12"/>
      <c r="F52" s="12"/>
      <c r="H52" s="4"/>
    </row>
    <row r="53" spans="1:8" x14ac:dyDescent="0.2">
      <c r="A53" s="3" t="s">
        <v>0</v>
      </c>
      <c r="B53" s="3" t="s">
        <v>5</v>
      </c>
      <c r="C53" s="3" t="s">
        <v>10</v>
      </c>
      <c r="D53" s="10" t="s">
        <v>82</v>
      </c>
      <c r="F53" s="10" t="s">
        <v>84</v>
      </c>
      <c r="H53" s="3" t="s">
        <v>26</v>
      </c>
    </row>
    <row r="54" spans="1:8" x14ac:dyDescent="0.2">
      <c r="D54" s="10" t="s">
        <v>83</v>
      </c>
      <c r="F54" s="10" t="s">
        <v>83</v>
      </c>
      <c r="H54" s="3" t="s">
        <v>83</v>
      </c>
    </row>
    <row r="55" spans="1:8" ht="6.75" customHeight="1" x14ac:dyDescent="0.25">
      <c r="A55" s="8"/>
      <c r="B55" s="1"/>
      <c r="D55" s="12"/>
      <c r="F55" s="12"/>
      <c r="H55" s="4"/>
    </row>
    <row r="56" spans="1:8" x14ac:dyDescent="0.2">
      <c r="A56" s="5" t="s">
        <v>93</v>
      </c>
      <c r="B56" s="9" t="s">
        <v>107</v>
      </c>
      <c r="C56" t="s">
        <v>44</v>
      </c>
      <c r="D56" s="13">
        <f>1560+3345</f>
        <v>4905</v>
      </c>
      <c r="F56" s="14">
        <v>36100</v>
      </c>
      <c r="H56" s="4">
        <f t="shared" ref="H56:H74" si="3">D56+F56</f>
        <v>41005</v>
      </c>
    </row>
    <row r="57" spans="1:8" x14ac:dyDescent="0.2">
      <c r="B57" s="9" t="s">
        <v>107</v>
      </c>
      <c r="C57" t="s">
        <v>45</v>
      </c>
      <c r="D57" s="13">
        <v>19880</v>
      </c>
      <c r="F57" s="14">
        <v>58400</v>
      </c>
      <c r="H57" s="4">
        <f t="shared" si="3"/>
        <v>78280</v>
      </c>
    </row>
    <row r="58" spans="1:8" x14ac:dyDescent="0.2">
      <c r="B58" s="9" t="s">
        <v>106</v>
      </c>
      <c r="C58" t="s">
        <v>46</v>
      </c>
      <c r="D58" s="13">
        <f>1106+19974</f>
        <v>21080</v>
      </c>
      <c r="F58" s="14">
        <v>8395</v>
      </c>
      <c r="H58" s="4">
        <f t="shared" si="3"/>
        <v>29475</v>
      </c>
    </row>
    <row r="59" spans="1:8" x14ac:dyDescent="0.2">
      <c r="B59" s="9" t="s">
        <v>9</v>
      </c>
      <c r="C59" t="s">
        <v>47</v>
      </c>
      <c r="D59" s="13">
        <v>4430</v>
      </c>
      <c r="F59" s="14">
        <v>6500</v>
      </c>
      <c r="H59" s="4">
        <f t="shared" si="3"/>
        <v>10930</v>
      </c>
    </row>
    <row r="60" spans="1:8" x14ac:dyDescent="0.2">
      <c r="B60" s="9" t="s">
        <v>106</v>
      </c>
      <c r="C60" t="s">
        <v>48</v>
      </c>
      <c r="D60" s="14">
        <f>33135+1020</f>
        <v>34155</v>
      </c>
      <c r="H60" s="4">
        <f t="shared" si="3"/>
        <v>34155</v>
      </c>
    </row>
    <row r="61" spans="1:8" x14ac:dyDescent="0.2">
      <c r="B61" s="9" t="s">
        <v>106</v>
      </c>
      <c r="C61" t="s">
        <v>49</v>
      </c>
      <c r="D61" s="14">
        <v>20333</v>
      </c>
      <c r="F61" s="16">
        <v>12400</v>
      </c>
      <c r="H61" s="4">
        <f t="shared" si="3"/>
        <v>32733</v>
      </c>
    </row>
    <row r="62" spans="1:8" x14ac:dyDescent="0.2">
      <c r="B62" s="9" t="s">
        <v>8</v>
      </c>
      <c r="C62" t="s">
        <v>50</v>
      </c>
      <c r="D62" s="14">
        <f>28605+4895</f>
        <v>33500</v>
      </c>
      <c r="F62" s="16">
        <v>113929</v>
      </c>
      <c r="H62" s="4">
        <f t="shared" si="3"/>
        <v>147429</v>
      </c>
    </row>
    <row r="63" spans="1:8" x14ac:dyDescent="0.2">
      <c r="B63" s="9" t="s">
        <v>6</v>
      </c>
      <c r="C63" t="s">
        <v>51</v>
      </c>
      <c r="D63" s="14">
        <f>50223+1005+50+47+15</f>
        <v>51340</v>
      </c>
      <c r="F63" s="16">
        <v>83825</v>
      </c>
      <c r="H63" s="4">
        <f t="shared" si="3"/>
        <v>135165</v>
      </c>
    </row>
    <row r="64" spans="1:8" x14ac:dyDescent="0.2">
      <c r="B64" s="9" t="s">
        <v>9</v>
      </c>
      <c r="C64" t="s">
        <v>52</v>
      </c>
      <c r="D64" s="14">
        <f>14671+2060</f>
        <v>16731</v>
      </c>
      <c r="F64" s="16">
        <v>60830</v>
      </c>
      <c r="H64" s="4">
        <f t="shared" si="3"/>
        <v>77561</v>
      </c>
    </row>
    <row r="65" spans="1:8" x14ac:dyDescent="0.2">
      <c r="B65" s="9" t="s">
        <v>107</v>
      </c>
      <c r="C65" t="s">
        <v>53</v>
      </c>
      <c r="D65" s="14">
        <v>330</v>
      </c>
      <c r="F65" s="16">
        <v>1500</v>
      </c>
      <c r="H65" s="4">
        <f t="shared" si="3"/>
        <v>1830</v>
      </c>
    </row>
    <row r="66" spans="1:8" x14ac:dyDescent="0.2">
      <c r="B66" s="9" t="s">
        <v>9</v>
      </c>
      <c r="C66" t="s">
        <v>54</v>
      </c>
      <c r="D66" s="14">
        <f>89178+1710</f>
        <v>90888</v>
      </c>
      <c r="F66" s="16">
        <v>29905</v>
      </c>
      <c r="H66" s="4">
        <f t="shared" si="3"/>
        <v>120793</v>
      </c>
    </row>
    <row r="67" spans="1:8" x14ac:dyDescent="0.2">
      <c r="B67" s="9" t="s">
        <v>6</v>
      </c>
      <c r="C67" t="s">
        <v>55</v>
      </c>
      <c r="D67" s="14">
        <f>29925+1955</f>
        <v>31880</v>
      </c>
      <c r="F67" s="16">
        <v>1320</v>
      </c>
      <c r="H67" s="4">
        <f t="shared" si="3"/>
        <v>33200</v>
      </c>
    </row>
    <row r="68" spans="1:8" x14ac:dyDescent="0.2">
      <c r="B68" s="9" t="s">
        <v>106</v>
      </c>
      <c r="C68" t="s">
        <v>56</v>
      </c>
      <c r="D68" s="14">
        <f>46563+723+4093+1563+97+107+82</f>
        <v>53228</v>
      </c>
      <c r="F68" s="16">
        <f>23624+130+1260+675</f>
        <v>25689</v>
      </c>
      <c r="H68" s="4">
        <f t="shared" si="3"/>
        <v>78917</v>
      </c>
    </row>
    <row r="69" spans="1:8" x14ac:dyDescent="0.2">
      <c r="B69" s="9" t="s">
        <v>8</v>
      </c>
      <c r="C69" t="s">
        <v>57</v>
      </c>
      <c r="D69" s="13">
        <v>34454</v>
      </c>
      <c r="F69" s="16">
        <v>18650</v>
      </c>
      <c r="H69" s="4">
        <f>D70+F69</f>
        <v>46205</v>
      </c>
    </row>
    <row r="70" spans="1:8" x14ac:dyDescent="0.2">
      <c r="B70" s="9" t="s">
        <v>106</v>
      </c>
      <c r="C70" t="s">
        <v>58</v>
      </c>
      <c r="D70" s="14">
        <f>26740+815</f>
        <v>27555</v>
      </c>
      <c r="F70" s="16">
        <v>36682</v>
      </c>
      <c r="H70" s="4">
        <f>D71+F70</f>
        <v>64535</v>
      </c>
    </row>
    <row r="71" spans="1:8" x14ac:dyDescent="0.2">
      <c r="B71" s="9" t="s">
        <v>6</v>
      </c>
      <c r="C71" t="s">
        <v>59</v>
      </c>
      <c r="D71" s="14">
        <v>27853</v>
      </c>
      <c r="F71" s="16">
        <v>3625</v>
      </c>
      <c r="H71" s="4">
        <f>D72+F71</f>
        <v>12088</v>
      </c>
    </row>
    <row r="72" spans="1:8" x14ac:dyDescent="0.2">
      <c r="B72" s="9" t="s">
        <v>9</v>
      </c>
      <c r="C72" t="s">
        <v>60</v>
      </c>
      <c r="D72" s="14">
        <v>8463</v>
      </c>
      <c r="F72" s="16">
        <v>9675</v>
      </c>
      <c r="H72" s="4">
        <f>D73+F72</f>
        <v>28402</v>
      </c>
    </row>
    <row r="73" spans="1:8" x14ac:dyDescent="0.2">
      <c r="B73" s="9" t="s">
        <v>8</v>
      </c>
      <c r="C73" t="s">
        <v>61</v>
      </c>
      <c r="D73" s="14">
        <v>18727</v>
      </c>
      <c r="F73" s="16">
        <v>11845</v>
      </c>
      <c r="H73" s="4">
        <f>D74+F73</f>
        <v>511577</v>
      </c>
    </row>
    <row r="74" spans="1:8" x14ac:dyDescent="0.2">
      <c r="B74" s="1"/>
      <c r="C74" s="5" t="s">
        <v>26</v>
      </c>
      <c r="D74" s="11">
        <f>SUM(D56:D73)</f>
        <v>499732</v>
      </c>
      <c r="E74" s="6"/>
      <c r="F74" s="11">
        <f>SUM(F56:F73)</f>
        <v>519270</v>
      </c>
      <c r="G74" s="15"/>
      <c r="H74" s="6">
        <f t="shared" si="3"/>
        <v>1019002</v>
      </c>
    </row>
    <row r="75" spans="1:8" x14ac:dyDescent="0.2">
      <c r="B75" s="1"/>
      <c r="D75" s="12"/>
      <c r="F75" s="12"/>
      <c r="H75" s="4"/>
    </row>
    <row r="76" spans="1:8" x14ac:dyDescent="0.2">
      <c r="A76" s="5" t="s">
        <v>4</v>
      </c>
      <c r="B76" s="9" t="s">
        <v>106</v>
      </c>
      <c r="C76" t="s">
        <v>62</v>
      </c>
      <c r="D76" s="14">
        <f>32417+6849+423+92</f>
        <v>39781</v>
      </c>
      <c r="F76" s="14">
        <f>11023+1857</f>
        <v>12880</v>
      </c>
      <c r="H76" s="4">
        <f t="shared" ref="H76:H96" si="4">D76+F76</f>
        <v>52661</v>
      </c>
    </row>
    <row r="77" spans="1:8" x14ac:dyDescent="0.2">
      <c r="B77" s="9" t="s">
        <v>8</v>
      </c>
      <c r="C77" t="s">
        <v>63</v>
      </c>
      <c r="D77" s="14">
        <f>16633+810</f>
        <v>17443</v>
      </c>
      <c r="F77" s="14">
        <v>1385</v>
      </c>
      <c r="H77" s="4">
        <f t="shared" si="4"/>
        <v>18828</v>
      </c>
    </row>
    <row r="78" spans="1:8" x14ac:dyDescent="0.2">
      <c r="B78" s="9" t="s">
        <v>9</v>
      </c>
      <c r="C78" t="s">
        <v>64</v>
      </c>
      <c r="D78" s="14">
        <v>8525</v>
      </c>
      <c r="F78" s="14">
        <v>1150</v>
      </c>
      <c r="H78" s="4">
        <f t="shared" si="4"/>
        <v>9675</v>
      </c>
    </row>
    <row r="79" spans="1:8" x14ac:dyDescent="0.2">
      <c r="B79" s="9" t="s">
        <v>9</v>
      </c>
      <c r="C79" t="s">
        <v>65</v>
      </c>
      <c r="D79" s="14">
        <v>7021</v>
      </c>
      <c r="F79" s="14">
        <v>12900</v>
      </c>
      <c r="H79" s="4">
        <f t="shared" si="4"/>
        <v>19921</v>
      </c>
    </row>
    <row r="80" spans="1:8" x14ac:dyDescent="0.2">
      <c r="B80" s="9" t="s">
        <v>106</v>
      </c>
      <c r="C80" t="s">
        <v>66</v>
      </c>
      <c r="D80" s="14">
        <f>300+19265</f>
        <v>19565</v>
      </c>
      <c r="F80" s="14">
        <v>2375</v>
      </c>
      <c r="H80" s="4">
        <f t="shared" si="4"/>
        <v>21940</v>
      </c>
    </row>
    <row r="81" spans="2:8" x14ac:dyDescent="0.2">
      <c r="B81" s="9" t="s">
        <v>6</v>
      </c>
      <c r="C81" t="s">
        <v>67</v>
      </c>
      <c r="D81" s="14"/>
      <c r="F81" s="14"/>
      <c r="H81" s="4">
        <f t="shared" si="4"/>
        <v>0</v>
      </c>
    </row>
    <row r="82" spans="2:8" x14ac:dyDescent="0.2">
      <c r="B82" s="9" t="s">
        <v>8</v>
      </c>
      <c r="C82" t="s">
        <v>68</v>
      </c>
      <c r="D82" s="14">
        <v>2350</v>
      </c>
      <c r="F82" s="14">
        <v>2640</v>
      </c>
      <c r="H82" s="4">
        <f t="shared" si="4"/>
        <v>4990</v>
      </c>
    </row>
    <row r="83" spans="2:8" x14ac:dyDescent="0.2">
      <c r="B83" s="9" t="s">
        <v>8</v>
      </c>
      <c r="C83" t="s">
        <v>69</v>
      </c>
      <c r="D83" s="14">
        <f>695+7819</f>
        <v>8514</v>
      </c>
      <c r="F83" s="14">
        <v>2350</v>
      </c>
      <c r="H83" s="4">
        <f t="shared" si="4"/>
        <v>10864</v>
      </c>
    </row>
    <row r="84" spans="2:8" x14ac:dyDescent="0.2">
      <c r="B84" s="9" t="s">
        <v>8</v>
      </c>
      <c r="C84" t="s">
        <v>70</v>
      </c>
      <c r="D84" s="14">
        <f>2170+175+20</f>
        <v>2365</v>
      </c>
      <c r="F84" s="13">
        <f>12+580+30</f>
        <v>622</v>
      </c>
      <c r="H84" s="4">
        <f>D84+F85</f>
        <v>7361</v>
      </c>
    </row>
    <row r="85" spans="2:8" x14ac:dyDescent="0.2">
      <c r="B85" s="9" t="s">
        <v>6</v>
      </c>
      <c r="C85" t="s">
        <v>71</v>
      </c>
      <c r="D85" s="14">
        <f>5203+10890+1368</f>
        <v>17461</v>
      </c>
      <c r="F85" s="14">
        <f>481+4034+481</f>
        <v>4996</v>
      </c>
      <c r="H85" s="4">
        <f t="shared" ref="H85:H89" si="5">D85+F86</f>
        <v>19461</v>
      </c>
    </row>
    <row r="86" spans="2:8" x14ac:dyDescent="0.2">
      <c r="B86" s="9" t="s">
        <v>8</v>
      </c>
      <c r="C86" t="s">
        <v>72</v>
      </c>
      <c r="D86" s="14">
        <v>2600</v>
      </c>
      <c r="F86" s="14">
        <v>2000</v>
      </c>
      <c r="H86" s="4">
        <f t="shared" si="5"/>
        <v>11511</v>
      </c>
    </row>
    <row r="87" spans="2:8" x14ac:dyDescent="0.2">
      <c r="B87" s="9" t="s">
        <v>106</v>
      </c>
      <c r="C87" t="s">
        <v>73</v>
      </c>
      <c r="D87" s="14">
        <v>1462</v>
      </c>
      <c r="F87" s="14">
        <v>8911</v>
      </c>
      <c r="H87" s="4">
        <f t="shared" si="5"/>
        <v>3642</v>
      </c>
    </row>
    <row r="88" spans="2:8" x14ac:dyDescent="0.2">
      <c r="B88" s="9" t="s">
        <v>106</v>
      </c>
      <c r="C88" t="s">
        <v>74</v>
      </c>
      <c r="D88" s="14">
        <f>285+15040</f>
        <v>15325</v>
      </c>
      <c r="F88" s="14">
        <v>2180</v>
      </c>
      <c r="H88" s="4">
        <f t="shared" si="5"/>
        <v>15670</v>
      </c>
    </row>
    <row r="89" spans="2:8" x14ac:dyDescent="0.2">
      <c r="B89" s="9" t="s">
        <v>9</v>
      </c>
      <c r="C89" t="s">
        <v>75</v>
      </c>
      <c r="D89" s="14">
        <f>16981+3948</f>
        <v>20929</v>
      </c>
      <c r="F89" s="14">
        <v>345</v>
      </c>
      <c r="H89" s="4">
        <f t="shared" si="5"/>
        <v>20929</v>
      </c>
    </row>
    <row r="90" spans="2:8" x14ac:dyDescent="0.2">
      <c r="B90" s="9" t="s">
        <v>106</v>
      </c>
      <c r="C90" t="s">
        <v>76</v>
      </c>
      <c r="D90" s="14"/>
      <c r="F90" s="14"/>
      <c r="H90" s="4">
        <f t="shared" si="4"/>
        <v>0</v>
      </c>
    </row>
    <row r="91" spans="2:8" x14ac:dyDescent="0.2">
      <c r="B91" s="9" t="s">
        <v>6</v>
      </c>
      <c r="C91" t="s">
        <v>110</v>
      </c>
      <c r="D91" s="14">
        <v>9176</v>
      </c>
      <c r="F91" s="14"/>
      <c r="H91" s="4">
        <f>D91+F91</f>
        <v>9176</v>
      </c>
    </row>
    <row r="92" spans="2:8" x14ac:dyDescent="0.2">
      <c r="B92" s="9" t="s">
        <v>106</v>
      </c>
      <c r="C92" t="s">
        <v>77</v>
      </c>
      <c r="D92" s="14">
        <v>1287</v>
      </c>
      <c r="F92" s="14"/>
      <c r="H92" s="4">
        <f>D92+F92</f>
        <v>1287</v>
      </c>
    </row>
    <row r="93" spans="2:8" x14ac:dyDescent="0.2">
      <c r="B93" s="9" t="s">
        <v>106</v>
      </c>
      <c r="C93" t="s">
        <v>78</v>
      </c>
      <c r="D93" s="14">
        <f>48950</f>
        <v>48950</v>
      </c>
      <c r="F93" s="14">
        <f>9075+225</f>
        <v>9300</v>
      </c>
      <c r="H93" s="4">
        <f t="shared" si="4"/>
        <v>58250</v>
      </c>
    </row>
    <row r="94" spans="2:8" x14ac:dyDescent="0.2">
      <c r="B94" s="9" t="s">
        <v>9</v>
      </c>
      <c r="C94" t="s">
        <v>79</v>
      </c>
      <c r="D94" s="14">
        <f>400+5300</f>
        <v>5700</v>
      </c>
      <c r="F94" s="14">
        <f>25400+1600</f>
        <v>27000</v>
      </c>
      <c r="H94" s="4">
        <f t="shared" si="4"/>
        <v>32700</v>
      </c>
    </row>
    <row r="95" spans="2:8" x14ac:dyDescent="0.2">
      <c r="B95" s="9" t="s">
        <v>9</v>
      </c>
      <c r="C95" t="s">
        <v>80</v>
      </c>
      <c r="D95" s="14">
        <f>986+20073+2151+80</f>
        <v>23290</v>
      </c>
      <c r="F95" s="14">
        <f>1587+261</f>
        <v>1848</v>
      </c>
      <c r="H95" s="4">
        <f t="shared" si="4"/>
        <v>25138</v>
      </c>
    </row>
    <row r="96" spans="2:8" x14ac:dyDescent="0.2">
      <c r="C96" s="5" t="s">
        <v>26</v>
      </c>
      <c r="D96" s="11">
        <f>SUM(D76:D95)</f>
        <v>251744</v>
      </c>
      <c r="E96" s="6"/>
      <c r="F96" s="11">
        <f>SUM(F76:F95)</f>
        <v>92882</v>
      </c>
      <c r="G96" s="15"/>
      <c r="H96" s="6">
        <f t="shared" si="4"/>
        <v>344626</v>
      </c>
    </row>
    <row r="97" spans="1:8" x14ac:dyDescent="0.2">
      <c r="D97" s="12"/>
      <c r="F97" s="12"/>
      <c r="H97" s="4"/>
    </row>
    <row r="98" spans="1:8" x14ac:dyDescent="0.2">
      <c r="C98" s="5" t="s">
        <v>81</v>
      </c>
      <c r="D98" s="11">
        <f>D96+D74+D45+D32+D23</f>
        <v>2111119</v>
      </c>
      <c r="E98" s="6"/>
      <c r="F98" s="11">
        <f>F96+F74+F45+F32+F23</f>
        <v>1909303</v>
      </c>
      <c r="G98" s="6"/>
      <c r="H98" s="6">
        <f>H96+H74+H45+H32+H23</f>
        <v>4020422</v>
      </c>
    </row>
    <row r="99" spans="1:8" x14ac:dyDescent="0.2">
      <c r="C99" s="7" t="s">
        <v>85</v>
      </c>
      <c r="D99" s="12">
        <v>70</v>
      </c>
      <c r="F99" s="12">
        <v>66</v>
      </c>
      <c r="H99" s="4"/>
    </row>
    <row r="100" spans="1:8" x14ac:dyDescent="0.2">
      <c r="D100" s="12"/>
      <c r="F100" s="12"/>
      <c r="H100" s="4"/>
    </row>
    <row r="101" spans="1:8" x14ac:dyDescent="0.2">
      <c r="A101" s="2" t="s">
        <v>86</v>
      </c>
      <c r="C101" s="1" t="s">
        <v>109</v>
      </c>
      <c r="D101" s="17">
        <v>2111119</v>
      </c>
      <c r="E101" s="18"/>
      <c r="F101" s="17">
        <v>1909303</v>
      </c>
      <c r="G101" s="18"/>
      <c r="H101" s="18">
        <v>4020422</v>
      </c>
    </row>
    <row r="102" spans="1:8" x14ac:dyDescent="0.2">
      <c r="C102" s="1" t="s">
        <v>105</v>
      </c>
      <c r="D102" s="12">
        <v>1816818</v>
      </c>
      <c r="F102" s="12">
        <v>1483653</v>
      </c>
      <c r="H102" s="4">
        <v>3300471</v>
      </c>
    </row>
    <row r="103" spans="1:8" x14ac:dyDescent="0.2">
      <c r="C103" s="1" t="s">
        <v>104</v>
      </c>
      <c r="D103" s="12">
        <v>3060116</v>
      </c>
      <c r="F103" s="12">
        <v>872780</v>
      </c>
      <c r="H103" s="4">
        <v>3932896</v>
      </c>
    </row>
    <row r="104" spans="1:8" x14ac:dyDescent="0.2">
      <c r="C104" s="1" t="s">
        <v>102</v>
      </c>
      <c r="D104" s="12">
        <v>1082163</v>
      </c>
      <c r="E104" s="12"/>
      <c r="F104" s="12">
        <v>1164394</v>
      </c>
      <c r="G104" s="12"/>
      <c r="H104" s="12">
        <v>2246557</v>
      </c>
    </row>
    <row r="105" spans="1:8" x14ac:dyDescent="0.2">
      <c r="C105" s="1" t="s">
        <v>101</v>
      </c>
      <c r="D105" s="12">
        <v>1674472</v>
      </c>
      <c r="E105" s="12"/>
      <c r="F105" s="12">
        <v>714760</v>
      </c>
      <c r="G105" s="12"/>
      <c r="H105" s="12">
        <v>2389232</v>
      </c>
    </row>
    <row r="106" spans="1:8" x14ac:dyDescent="0.2">
      <c r="C106" s="1" t="s">
        <v>100</v>
      </c>
      <c r="D106" s="12">
        <v>933690</v>
      </c>
      <c r="E106" s="12"/>
      <c r="F106" s="12">
        <v>649909</v>
      </c>
      <c r="G106" s="12"/>
      <c r="H106" s="12">
        <v>1583599</v>
      </c>
    </row>
    <row r="107" spans="1:8" x14ac:dyDescent="0.2">
      <c r="C107" s="1" t="s">
        <v>99</v>
      </c>
      <c r="D107" s="12">
        <v>1028457</v>
      </c>
      <c r="E107" s="12"/>
      <c r="F107" s="12">
        <v>467943</v>
      </c>
      <c r="G107" s="12"/>
      <c r="H107" s="12">
        <v>1496400</v>
      </c>
    </row>
    <row r="108" spans="1:8" x14ac:dyDescent="0.2">
      <c r="C108" s="9" t="s">
        <v>98</v>
      </c>
      <c r="D108" s="12">
        <v>965797</v>
      </c>
      <c r="E108" s="4"/>
      <c r="F108" s="12">
        <v>305409</v>
      </c>
      <c r="G108" s="4"/>
      <c r="H108" s="4">
        <v>1271206</v>
      </c>
    </row>
    <row r="109" spans="1:8" x14ac:dyDescent="0.2">
      <c r="C109" s="9" t="s">
        <v>95</v>
      </c>
      <c r="D109" s="12">
        <v>530733</v>
      </c>
      <c r="E109" s="4"/>
      <c r="F109" s="12">
        <v>456875</v>
      </c>
      <c r="G109" s="4"/>
      <c r="H109" s="4">
        <v>987608</v>
      </c>
    </row>
    <row r="110" spans="1:8" x14ac:dyDescent="0.2">
      <c r="C110" s="1" t="s">
        <v>92</v>
      </c>
      <c r="D110" s="12">
        <v>570203</v>
      </c>
      <c r="E110" s="4"/>
      <c r="F110" s="12">
        <v>394991</v>
      </c>
      <c r="H110" s="4">
        <v>965194</v>
      </c>
    </row>
    <row r="111" spans="1:8" x14ac:dyDescent="0.2">
      <c r="C111" s="1" t="s">
        <v>87</v>
      </c>
      <c r="D111" s="12">
        <v>398661</v>
      </c>
      <c r="F111" s="12">
        <v>246813</v>
      </c>
      <c r="H111" s="4">
        <v>695474</v>
      </c>
    </row>
    <row r="112" spans="1:8" x14ac:dyDescent="0.2">
      <c r="C112" s="1" t="s">
        <v>88</v>
      </c>
      <c r="D112" s="12">
        <v>285710</v>
      </c>
      <c r="F112" s="12">
        <v>241780</v>
      </c>
      <c r="H112" s="4">
        <v>527490</v>
      </c>
    </row>
    <row r="113" spans="3:8" x14ac:dyDescent="0.2">
      <c r="C113" s="1" t="s">
        <v>89</v>
      </c>
      <c r="D113" s="12">
        <v>174413</v>
      </c>
      <c r="F113" s="12">
        <v>228524</v>
      </c>
      <c r="H113" s="4">
        <v>402937</v>
      </c>
    </row>
    <row r="114" spans="3:8" x14ac:dyDescent="0.2">
      <c r="C114" s="1" t="s">
        <v>90</v>
      </c>
      <c r="D114" s="12">
        <v>144505</v>
      </c>
      <c r="F114" s="12">
        <v>194349</v>
      </c>
      <c r="H114" s="4">
        <v>338854</v>
      </c>
    </row>
    <row r="115" spans="3:8" x14ac:dyDescent="0.2">
      <c r="C115" s="1" t="s">
        <v>91</v>
      </c>
      <c r="D115" s="12">
        <v>111816</v>
      </c>
      <c r="F115" s="12">
        <v>48149</v>
      </c>
      <c r="H115" s="4">
        <v>159965</v>
      </c>
    </row>
  </sheetData>
  <phoneticPr fontId="0" type="noConversion"/>
  <pageMargins left="0.5" right="0.5" top="0.59" bottom="0.5" header="0.5" footer="0.5"/>
  <pageSetup scale="92" fitToHeight="2" orientation="portrait" r:id="rId1"/>
  <headerFooter alignWithMargins="0"/>
  <rowBreaks count="1" manualBreakCount="1">
    <brk id="4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Wisconsin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Martinelli</dc:creator>
  <cp:lastModifiedBy>WisDOT</cp:lastModifiedBy>
  <cp:lastPrinted>2011-09-30T21:20:04Z</cp:lastPrinted>
  <dcterms:created xsi:type="dcterms:W3CDTF">2006-09-08T12:41:23Z</dcterms:created>
  <dcterms:modified xsi:type="dcterms:W3CDTF">2016-06-20T14:06:17Z</dcterms:modified>
</cp:coreProperties>
</file>